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Gianluca Broadley/PAN-016059/"/>
    </mc:Choice>
  </mc:AlternateContent>
  <xr:revisionPtr revIDLastSave="0" documentId="13_ncr:1_{A4D0EE26-1A89-44D9-B041-4B4310B59AFF}" xr6:coauthVersionLast="46" xr6:coauthVersionMax="46" xr10:uidLastSave="{00000000-0000-0000-0000-000000000000}"/>
  <bookViews>
    <workbookView xWindow="-110" yWindow="-110" windowWidth="19420" windowHeight="10420" tabRatio="867" activeTab="3" xr2:uid="{00000000-000D-0000-FFFF-FFFF00000000}"/>
  </bookViews>
  <sheets>
    <sheet name="Beechdean" sheetId="1" r:id="rId1"/>
    <sheet name="Croda Goole" sheetId="21" r:id="rId2"/>
    <sheet name="Croda Widnes" sheetId="27" r:id="rId3"/>
    <sheet name="D Wise" sheetId="28" r:id="rId4"/>
    <sheet name="Encirc" sheetId="30" r:id="rId5"/>
    <sheet name="Kelloggs " sheetId="26" r:id="rId6"/>
    <sheet name="Maelor Foods" sheetId="24" r:id="rId7"/>
    <sheet name="Rowan Foods" sheetId="29" r:id="rId8"/>
    <sheet name="Secanim" sheetId="23" r:id="rId9"/>
    <sheet name="Westland Horticultur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J65" i="1" l="1"/>
  <c r="K65" i="1"/>
  <c r="L65" i="1"/>
  <c r="M65" i="1"/>
  <c r="N65" i="1"/>
  <c r="O65" i="1"/>
  <c r="P65" i="1"/>
  <c r="Q65" i="1"/>
  <c r="R65" i="1"/>
  <c r="S65" i="1"/>
  <c r="T65" i="1"/>
  <c r="U65" i="1"/>
  <c r="J65" i="21"/>
  <c r="K65" i="21"/>
  <c r="L65" i="21"/>
  <c r="M65" i="21"/>
  <c r="N65" i="21"/>
  <c r="O65" i="21"/>
  <c r="P65" i="21"/>
  <c r="Q65" i="21"/>
  <c r="R65" i="21"/>
  <c r="S65" i="21"/>
  <c r="T65" i="21"/>
  <c r="U65" i="21"/>
  <c r="J65" i="27"/>
  <c r="K65" i="27"/>
  <c r="L65" i="27"/>
  <c r="M65" i="27"/>
  <c r="N65" i="27"/>
  <c r="O65" i="27"/>
  <c r="P65" i="27"/>
  <c r="Q65" i="27"/>
  <c r="R65" i="27"/>
  <c r="S65" i="27"/>
  <c r="T65" i="27"/>
  <c r="U65" i="27"/>
  <c r="J65" i="28"/>
  <c r="K65" i="28"/>
  <c r="L65" i="28"/>
  <c r="M65" i="28"/>
  <c r="N65" i="28"/>
  <c r="O65" i="28"/>
  <c r="P65" i="28"/>
  <c r="Q65" i="28"/>
  <c r="R65" i="28"/>
  <c r="S65" i="28"/>
  <c r="T65" i="28"/>
  <c r="U65" i="28"/>
  <c r="J65" i="30"/>
  <c r="K65" i="30"/>
  <c r="L65" i="30"/>
  <c r="M65" i="30"/>
  <c r="N65" i="30"/>
  <c r="O65" i="30"/>
  <c r="P65" i="30"/>
  <c r="Q65" i="30"/>
  <c r="R65" i="30"/>
  <c r="S65" i="30"/>
  <c r="T65" i="30"/>
  <c r="U65" i="30"/>
  <c r="J65" i="26"/>
  <c r="K65" i="26"/>
  <c r="L65" i="26"/>
  <c r="M65" i="26"/>
  <c r="N65" i="26"/>
  <c r="O65" i="26"/>
  <c r="P65" i="26"/>
  <c r="Q65" i="26"/>
  <c r="R65" i="26"/>
  <c r="S65" i="26"/>
  <c r="T65" i="26"/>
  <c r="U65" i="26"/>
  <c r="J65" i="24"/>
  <c r="K65" i="24"/>
  <c r="L65" i="24"/>
  <c r="M65" i="24"/>
  <c r="N65" i="24"/>
  <c r="O65" i="24"/>
  <c r="P65" i="24"/>
  <c r="Q65" i="24"/>
  <c r="R65" i="24"/>
  <c r="S65" i="24"/>
  <c r="T65" i="24"/>
  <c r="U65" i="24"/>
  <c r="J65" i="29"/>
  <c r="K65" i="29"/>
  <c r="L65" i="29"/>
  <c r="M65" i="29"/>
  <c r="N65" i="29"/>
  <c r="O65" i="29"/>
  <c r="P65" i="29"/>
  <c r="Q65" i="29"/>
  <c r="R65" i="29"/>
  <c r="S65" i="29"/>
  <c r="T65" i="29"/>
  <c r="U65" i="29"/>
  <c r="J65" i="23"/>
  <c r="K65" i="23"/>
  <c r="L65" i="23"/>
  <c r="M65" i="23"/>
  <c r="N65" i="23"/>
  <c r="O65" i="23"/>
  <c r="P65" i="23"/>
  <c r="Q65" i="23"/>
  <c r="R65" i="23"/>
  <c r="S65" i="23"/>
  <c r="T65" i="23"/>
  <c r="U65" i="23"/>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U22" i="30"/>
  <c r="S22" i="30"/>
  <c r="Q22" i="30"/>
  <c r="M22" i="30"/>
  <c r="V20" i="30"/>
  <c r="U20" i="30"/>
  <c r="T20" i="30"/>
  <c r="S20" i="30"/>
  <c r="R20" i="30"/>
  <c r="Q20" i="30"/>
  <c r="P20" i="30"/>
  <c r="O20" i="30"/>
  <c r="N20" i="30"/>
  <c r="M20" i="30"/>
  <c r="L20" i="30"/>
  <c r="K20" i="30"/>
  <c r="V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R22" i="29"/>
  <c r="Q22" i="29"/>
  <c r="J22" i="29"/>
  <c r="V20" i="29"/>
  <c r="U20" i="29"/>
  <c r="T20" i="29"/>
  <c r="S20" i="29"/>
  <c r="R20" i="29"/>
  <c r="Q20" i="29"/>
  <c r="P20" i="29"/>
  <c r="O20" i="29"/>
  <c r="N20" i="29"/>
  <c r="M20" i="29"/>
  <c r="L20" i="29"/>
  <c r="K20" i="29"/>
  <c r="T18" i="29"/>
  <c r="N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U22" i="28"/>
  <c r="O22" i="28"/>
  <c r="M22" i="28"/>
  <c r="V20" i="28"/>
  <c r="U20" i="28"/>
  <c r="T20" i="28"/>
  <c r="S20" i="28"/>
  <c r="R20" i="28"/>
  <c r="Q20" i="28"/>
  <c r="P20" i="28"/>
  <c r="O20" i="28"/>
  <c r="N20" i="28"/>
  <c r="M20" i="28"/>
  <c r="L20" i="28"/>
  <c r="K20" i="28"/>
  <c r="V18" i="28"/>
  <c r="R18" i="28"/>
  <c r="P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Q22" i="27"/>
  <c r="O22" i="27"/>
  <c r="I22" i="27"/>
  <c r="V20" i="27"/>
  <c r="U20" i="27"/>
  <c r="T20" i="27"/>
  <c r="S20" i="27"/>
  <c r="R20" i="27"/>
  <c r="Q20" i="27"/>
  <c r="P20" i="27"/>
  <c r="O20" i="27"/>
  <c r="N20" i="27"/>
  <c r="M20" i="27"/>
  <c r="L20" i="27"/>
  <c r="K20" i="27"/>
  <c r="T18" i="27"/>
  <c r="S18" i="27"/>
  <c r="K18" i="27"/>
  <c r="H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V20" i="26"/>
  <c r="U20" i="26"/>
  <c r="T20" i="26"/>
  <c r="S20" i="26"/>
  <c r="R20" i="26"/>
  <c r="Q20" i="26"/>
  <c r="P20" i="26"/>
  <c r="O20" i="26"/>
  <c r="N20" i="26"/>
  <c r="M20" i="26"/>
  <c r="L20" i="26"/>
  <c r="K20" i="26"/>
  <c r="T18"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V20" i="24"/>
  <c r="U20" i="24"/>
  <c r="T20" i="24"/>
  <c r="S20" i="24"/>
  <c r="R20" i="24"/>
  <c r="Q20" i="24"/>
  <c r="P20" i="24"/>
  <c r="O20" i="24"/>
  <c r="N20" i="24"/>
  <c r="M20" i="24"/>
  <c r="L20" i="24"/>
  <c r="K20" i="24"/>
  <c r="P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V20" i="23"/>
  <c r="U20" i="23"/>
  <c r="T20" i="23"/>
  <c r="S20" i="23"/>
  <c r="R20" i="23"/>
  <c r="Q20" i="23"/>
  <c r="P20" i="23"/>
  <c r="O20" i="23"/>
  <c r="N20" i="23"/>
  <c r="M20" i="23"/>
  <c r="L20" i="23"/>
  <c r="K20" i="23"/>
  <c r="S18"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S22" i="22"/>
  <c r="G22" i="22"/>
  <c r="V20" i="22"/>
  <c r="U20" i="22"/>
  <c r="T20" i="22"/>
  <c r="S20" i="22"/>
  <c r="R20" i="22"/>
  <c r="Q20" i="22"/>
  <c r="P20" i="22"/>
  <c r="O20" i="22"/>
  <c r="N20" i="22"/>
  <c r="M20" i="22"/>
  <c r="L20" i="22"/>
  <c r="K20" i="22"/>
  <c r="U18" i="22"/>
  <c r="R18" i="22"/>
  <c r="M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T6" i="19" l="1"/>
  <c r="T20" i="19" s="1"/>
  <c r="H10" i="19"/>
  <c r="H24"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I4" i="20"/>
  <c r="J4" i="19"/>
  <c r="J18" i="19" s="1"/>
  <c r="I59" i="21"/>
  <c r="J17" i="21"/>
  <c r="J19" i="21" s="1"/>
  <c r="J20" i="21" s="1"/>
  <c r="J21" i="21"/>
  <c r="J23" i="21" s="1"/>
  <c r="J24" i="21" s="1"/>
  <c r="C59" i="22"/>
  <c r="D21" i="22"/>
  <c r="D23" i="22" s="1"/>
  <c r="D24"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D59" i="22"/>
  <c r="E21" i="22"/>
  <c r="E23" i="22" s="1"/>
  <c r="E24" i="22" s="1"/>
  <c r="E17" i="22"/>
  <c r="L59" i="22"/>
  <c r="M21" i="22"/>
  <c r="M23"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0" i="23" s="1"/>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I59" i="29"/>
  <c r="J17" i="29"/>
  <c r="J19" i="29" s="1"/>
  <c r="J20" i="29" s="1"/>
  <c r="J21" i="29"/>
  <c r="Q59" i="29"/>
  <c r="R21" i="29"/>
  <c r="R23"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17" i="23"/>
  <c r="N19" i="23" s="1"/>
  <c r="U59" i="23"/>
  <c r="V21" i="23"/>
  <c r="V23" i="23" s="1"/>
  <c r="V17" i="23"/>
  <c r="I17" i="24"/>
  <c r="I19" i="24" s="1"/>
  <c r="I20" i="24" s="1"/>
  <c r="I21" i="24"/>
  <c r="Q17" i="24"/>
  <c r="Q19" i="24" s="1"/>
  <c r="Q21" i="24"/>
  <c r="Q23" i="24" s="1"/>
  <c r="D59" i="26"/>
  <c r="E21" i="26"/>
  <c r="E23" i="26" s="1"/>
  <c r="E24" i="26" s="1"/>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24" i="22" s="1"/>
  <c r="F17" i="22"/>
  <c r="F19" i="22" s="1"/>
  <c r="F20" i="22" s="1"/>
  <c r="M59" i="22"/>
  <c r="N21" i="22"/>
  <c r="N23" i="22" s="1"/>
  <c r="N17" i="22"/>
  <c r="U59" i="22"/>
  <c r="V17" i="22"/>
  <c r="V21" i="22"/>
  <c r="C18" i="22"/>
  <c r="H21" i="23"/>
  <c r="H23" i="23" s="1"/>
  <c r="H24" i="23" s="1"/>
  <c r="H17" i="23"/>
  <c r="P17" i="23"/>
  <c r="P19" i="23" s="1"/>
  <c r="P21" i="23"/>
  <c r="J59" i="24"/>
  <c r="K21" i="24"/>
  <c r="K17" i="24"/>
  <c r="R59" i="24"/>
  <c r="S21" i="24"/>
  <c r="S23" i="24" s="1"/>
  <c r="S17" i="24"/>
  <c r="G21" i="26"/>
  <c r="G23" i="26" s="1"/>
  <c r="G24" i="26" s="1"/>
  <c r="G17" i="26"/>
  <c r="G19" i="26" s="1"/>
  <c r="G20" i="26" s="1"/>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21" i="22"/>
  <c r="G23" i="22" s="1"/>
  <c r="G24" i="22" s="1"/>
  <c r="O17" i="22"/>
  <c r="O19" i="22" s="1"/>
  <c r="O21" i="22"/>
  <c r="O23" i="22" s="1"/>
  <c r="H59" i="23"/>
  <c r="I21" i="23"/>
  <c r="I23" i="23" s="1"/>
  <c r="I24" i="23" s="1"/>
  <c r="I17" i="23"/>
  <c r="P59" i="23"/>
  <c r="Q17" i="23"/>
  <c r="Q21" i="23"/>
  <c r="Q23" i="23" s="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M59" i="29"/>
  <c r="N17" i="29"/>
  <c r="N21" i="29"/>
  <c r="U59" i="29"/>
  <c r="V17" i="29"/>
  <c r="V21" i="29"/>
  <c r="V23" i="29" s="1"/>
  <c r="D59" i="30"/>
  <c r="E17" i="30"/>
  <c r="E19" i="30" s="1"/>
  <c r="E20"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23" i="23" s="1"/>
  <c r="J24" i="23" s="1"/>
  <c r="J17" i="23"/>
  <c r="J19" i="23" s="1"/>
  <c r="J20" i="23" s="1"/>
  <c r="Q59" i="23"/>
  <c r="R21" i="23"/>
  <c r="R17" i="23"/>
  <c r="D59" i="24"/>
  <c r="E17" i="24"/>
  <c r="E19" i="24" s="1"/>
  <c r="E20" i="24" s="1"/>
  <c r="E21" i="24"/>
  <c r="L59" i="24"/>
  <c r="M17" i="24"/>
  <c r="M19" i="24" s="1"/>
  <c r="M21" i="24"/>
  <c r="M23"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R59" i="23"/>
  <c r="S17" i="23"/>
  <c r="S19" i="23" s="1"/>
  <c r="S21" i="23"/>
  <c r="E59" i="24"/>
  <c r="F21" i="24"/>
  <c r="F23" i="24" s="1"/>
  <c r="F24" i="24" s="1"/>
  <c r="F17" i="24"/>
  <c r="F19" i="24" s="1"/>
  <c r="F20" i="24" s="1"/>
  <c r="M59" i="24"/>
  <c r="N21" i="24"/>
  <c r="N23"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17" i="28"/>
  <c r="Q19" i="28" s="1"/>
  <c r="H21" i="29"/>
  <c r="H23" i="29" s="1"/>
  <c r="H24" i="29" s="1"/>
  <c r="H17" i="29"/>
  <c r="H19" i="29" s="1"/>
  <c r="H20" i="29" s="1"/>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H23" i="30" s="1"/>
  <c r="H24"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C64" i="21" s="1"/>
  <c r="C65" i="21"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D58" i="30"/>
  <c r="D61"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F20" i="23" s="1"/>
  <c r="I58" i="23"/>
  <c r="I61" i="23" s="1"/>
  <c r="I64" i="23" s="1"/>
  <c r="Q58" i="23"/>
  <c r="Q61" i="23" s="1"/>
  <c r="L58" i="29"/>
  <c r="L61" i="29" s="1"/>
  <c r="T58" i="29"/>
  <c r="T61" i="29" s="1"/>
  <c r="T64" i="29" s="1"/>
  <c r="Q23" i="30"/>
  <c r="E23" i="30"/>
  <c r="E24" i="30" s="1"/>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R21" i="27"/>
  <c r="R23"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H58" i="30"/>
  <c r="H61" i="30" s="1"/>
  <c r="H64" i="30" s="1"/>
  <c r="N59" i="30"/>
  <c r="K19" i="21"/>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H23" i="22"/>
  <c r="H24" i="22" s="1"/>
  <c r="P23" i="22"/>
  <c r="C58" i="22"/>
  <c r="C61" i="22" s="1"/>
  <c r="C64" i="22" s="1"/>
  <c r="C65" i="22" s="1"/>
  <c r="K58" i="22"/>
  <c r="K61" i="22" s="1"/>
  <c r="K64" i="22" s="1"/>
  <c r="S58" i="22"/>
  <c r="S61" i="22" s="1"/>
  <c r="S64" i="22" s="1"/>
  <c r="F57" i="23"/>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D23" i="29"/>
  <c r="D24" i="29" s="1"/>
  <c r="L23" i="29"/>
  <c r="T23" i="29"/>
  <c r="G58" i="29"/>
  <c r="G61" i="29" s="1"/>
  <c r="O58" i="29"/>
  <c r="O61" i="29" s="1"/>
  <c r="P59" i="29"/>
  <c r="I57" i="30"/>
  <c r="M19" i="21"/>
  <c r="G57" i="21"/>
  <c r="J19" i="22"/>
  <c r="J20" i="22" s="1"/>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G24" i="30" s="1"/>
  <c r="R19" i="30"/>
  <c r="F63" i="30"/>
  <c r="N63" i="30"/>
  <c r="K19" i="30"/>
  <c r="S19" i="30"/>
  <c r="S23" i="30"/>
  <c r="A31" i="30"/>
  <c r="A33" i="30"/>
  <c r="A39" i="30"/>
  <c r="A41" i="30"/>
  <c r="A47" i="30"/>
  <c r="A49" i="30"/>
  <c r="G57" i="30"/>
  <c r="O57" i="30"/>
  <c r="G59" i="30"/>
  <c r="G64" i="30" s="1"/>
  <c r="O59" i="30"/>
  <c r="G63" i="30"/>
  <c r="O63" i="30"/>
  <c r="P63" i="30"/>
  <c r="I63" i="30"/>
  <c r="Q63" i="30"/>
  <c r="T19" i="30"/>
  <c r="N19" i="30"/>
  <c r="V19" i="30"/>
  <c r="F23" i="30"/>
  <c r="F24" i="30" s="1"/>
  <c r="N23" i="30"/>
  <c r="B63" i="30"/>
  <c r="J63" i="30"/>
  <c r="R63" i="30"/>
  <c r="M19" i="30"/>
  <c r="G19" i="30"/>
  <c r="G20" i="30" s="1"/>
  <c r="A32" i="30"/>
  <c r="A34" i="30"/>
  <c r="A40" i="30"/>
  <c r="A42" i="30"/>
  <c r="A48" i="30"/>
  <c r="A50" i="30"/>
  <c r="C63" i="30"/>
  <c r="K63" i="30"/>
  <c r="S63" i="30"/>
  <c r="P19" i="30"/>
  <c r="D63" i="30"/>
  <c r="L63" i="30"/>
  <c r="T63" i="30"/>
  <c r="H63" i="30"/>
  <c r="Q19" i="30"/>
  <c r="E63" i="30"/>
  <c r="M63" i="30"/>
  <c r="Q23" i="29"/>
  <c r="O23" i="29"/>
  <c r="T19" i="29"/>
  <c r="P63" i="29"/>
  <c r="R19" i="29"/>
  <c r="J23" i="29"/>
  <c r="J24" i="29" s="1"/>
  <c r="F57" i="29"/>
  <c r="N57" i="29"/>
  <c r="F59" i="29"/>
  <c r="N59" i="29"/>
  <c r="F63" i="29"/>
  <c r="N63" i="29"/>
  <c r="H63" i="29"/>
  <c r="K19" i="29"/>
  <c r="S19" i="29"/>
  <c r="K23" i="29"/>
  <c r="S23" i="29"/>
  <c r="A31" i="29"/>
  <c r="A33" i="29"/>
  <c r="A39" i="29"/>
  <c r="A41" i="29"/>
  <c r="A47" i="29"/>
  <c r="A49" i="29"/>
  <c r="G57" i="29"/>
  <c r="O57" i="29"/>
  <c r="G59" i="29"/>
  <c r="O59" i="29"/>
  <c r="G63" i="29"/>
  <c r="O63" i="29"/>
  <c r="E19" i="29"/>
  <c r="E20" i="29" s="1"/>
  <c r="M19" i="29"/>
  <c r="U19" i="29"/>
  <c r="E23" i="29"/>
  <c r="E24" i="29" s="1"/>
  <c r="M23" i="29"/>
  <c r="U23" i="29"/>
  <c r="I57" i="29"/>
  <c r="Q57" i="29"/>
  <c r="I63" i="29"/>
  <c r="Q63" i="29"/>
  <c r="N19" i="29"/>
  <c r="V19" i="29"/>
  <c r="F23" i="29"/>
  <c r="F24" i="29" s="1"/>
  <c r="N23" i="29"/>
  <c r="B63" i="29"/>
  <c r="J63" i="29"/>
  <c r="R63" i="29"/>
  <c r="L19" i="29"/>
  <c r="G19" i="29"/>
  <c r="G20" i="29" s="1"/>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L19" i="28"/>
  <c r="L23" i="28"/>
  <c r="T23" i="28"/>
  <c r="H59" i="28"/>
  <c r="P59" i="28"/>
  <c r="H63" i="28"/>
  <c r="P63" i="28"/>
  <c r="M19" i="28"/>
  <c r="U19" i="28"/>
  <c r="M23" i="28"/>
  <c r="I57" i="28"/>
  <c r="Q57" i="28"/>
  <c r="I63" i="28"/>
  <c r="Q63" i="28"/>
  <c r="R19" i="28"/>
  <c r="F19" i="28"/>
  <c r="F20" i="28" s="1"/>
  <c r="V19" i="28"/>
  <c r="F23" i="28"/>
  <c r="F24" i="28" s="1"/>
  <c r="N23" i="28"/>
  <c r="V23" i="28"/>
  <c r="B63" i="28"/>
  <c r="J63" i="28"/>
  <c r="R63" i="28"/>
  <c r="A32" i="28"/>
  <c r="A34" i="28"/>
  <c r="A40" i="28"/>
  <c r="A42" i="28"/>
  <c r="A48" i="28"/>
  <c r="A50" i="28"/>
  <c r="C63" i="28"/>
  <c r="K63" i="28"/>
  <c r="S63" i="28"/>
  <c r="H19" i="28"/>
  <c r="H20" i="28" s="1"/>
  <c r="D63" i="28"/>
  <c r="L63" i="28"/>
  <c r="T63" i="28"/>
  <c r="I19" i="28"/>
  <c r="I20" i="28" s="1"/>
  <c r="E63" i="28"/>
  <c r="M63" i="28"/>
  <c r="Q23" i="27"/>
  <c r="T23" i="27"/>
  <c r="R19" i="27"/>
  <c r="J21" i="27"/>
  <c r="J23" i="27" s="1"/>
  <c r="J24" i="27" s="1"/>
  <c r="F63" i="27"/>
  <c r="N63" i="27"/>
  <c r="C23" i="27"/>
  <c r="C24" i="27" s="1"/>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I64" i="26" s="1"/>
  <c r="Q59" i="26"/>
  <c r="Q64" i="26" s="1"/>
  <c r="I63" i="26"/>
  <c r="Q63" i="26"/>
  <c r="N19" i="26"/>
  <c r="N23" i="26"/>
  <c r="N24" i="26" s="1"/>
  <c r="V23" i="26"/>
  <c r="V24" i="26" s="1"/>
  <c r="B63" i="26"/>
  <c r="J63" i="26"/>
  <c r="R63" i="26"/>
  <c r="O19" i="26"/>
  <c r="A32" i="26"/>
  <c r="A34" i="26"/>
  <c r="A40" i="26"/>
  <c r="A42" i="26"/>
  <c r="A48" i="26"/>
  <c r="A50" i="26"/>
  <c r="C63" i="26"/>
  <c r="K63" i="26"/>
  <c r="S63" i="26"/>
  <c r="H19" i="26"/>
  <c r="H20" i="26" s="1"/>
  <c r="P19" i="26"/>
  <c r="D63" i="26"/>
  <c r="L63" i="26"/>
  <c r="I19" i="26"/>
  <c r="I20" i="26" s="1"/>
  <c r="J23" i="24"/>
  <c r="J24" i="24" s="1"/>
  <c r="H23" i="24"/>
  <c r="H24" i="24" s="1"/>
  <c r="P23" i="24"/>
  <c r="K19" i="24"/>
  <c r="S19" i="24"/>
  <c r="K23" i="24"/>
  <c r="A31" i="24"/>
  <c r="A33" i="24"/>
  <c r="A37" i="24"/>
  <c r="A39" i="24"/>
  <c r="A41" i="24"/>
  <c r="A45" i="24"/>
  <c r="A47" i="24"/>
  <c r="A49" i="24"/>
  <c r="G57" i="24"/>
  <c r="O57" i="24"/>
  <c r="G59" i="24"/>
  <c r="O59" i="24"/>
  <c r="G63" i="24"/>
  <c r="O63" i="24"/>
  <c r="H59" i="24"/>
  <c r="P59" i="24"/>
  <c r="H63" i="24"/>
  <c r="P63" i="24"/>
  <c r="U19" i="24"/>
  <c r="E23" i="24"/>
  <c r="E24" i="24" s="1"/>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M19" i="23"/>
  <c r="E23" i="23"/>
  <c r="E24" i="23" s="1"/>
  <c r="M23" i="23"/>
  <c r="I57" i="23"/>
  <c r="Q57" i="23"/>
  <c r="N23" i="23"/>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T23" i="22"/>
  <c r="K23" i="22"/>
  <c r="A31" i="22"/>
  <c r="A33" i="22"/>
  <c r="A41" i="22"/>
  <c r="A47" i="22"/>
  <c r="E19" i="22"/>
  <c r="E20" i="22" s="1"/>
  <c r="M19" i="22"/>
  <c r="U23" i="22"/>
  <c r="I57" i="22"/>
  <c r="Q57" i="22"/>
  <c r="K19" i="22"/>
  <c r="A39" i="22"/>
  <c r="A49" i="22"/>
  <c r="N19" i="22"/>
  <c r="V19" i="22"/>
  <c r="V23" i="22"/>
  <c r="G19" i="22"/>
  <c r="G20" i="22" s="1"/>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5" i="23" l="1"/>
  <c r="E65" i="23"/>
  <c r="I65" i="23"/>
  <c r="C23" i="22"/>
  <c r="C24" i="22" s="1"/>
  <c r="C65" i="29"/>
  <c r="I65" i="29"/>
  <c r="B65" i="24"/>
  <c r="I65" i="26"/>
  <c r="H65" i="26"/>
  <c r="G65" i="30"/>
  <c r="H65" i="30"/>
  <c r="I65" i="28"/>
  <c r="E65" i="27"/>
  <c r="D65" i="21"/>
  <c r="C23" i="21"/>
  <c r="C24" i="21" s="1"/>
  <c r="C19" i="29"/>
  <c r="C20" i="29" s="1"/>
  <c r="I64" i="22"/>
  <c r="I65" i="22" s="1"/>
  <c r="F64" i="26"/>
  <c r="F66" i="26" s="1"/>
  <c r="D64" i="28"/>
  <c r="D65" i="28" s="1"/>
  <c r="D64" i="27"/>
  <c r="D65" i="27" s="1"/>
  <c r="D64" i="30"/>
  <c r="D65" i="30" s="1"/>
  <c r="D64" i="24"/>
  <c r="D65" i="24" s="1"/>
  <c r="B64" i="30"/>
  <c r="B65" i="30"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24"/>
  <c r="K66" i="30"/>
  <c r="C66" i="30"/>
  <c r="I66" i="30"/>
  <c r="R66" i="29"/>
  <c r="M66" i="29"/>
  <c r="I66" i="29"/>
  <c r="S66" i="29"/>
  <c r="T66" i="28"/>
  <c r="M66" i="28"/>
  <c r="Q66" i="28"/>
  <c r="I66" i="28"/>
  <c r="S66" i="28"/>
  <c r="K66" i="28"/>
  <c r="Q66" i="27"/>
  <c r="I66" i="27"/>
  <c r="P66" i="27"/>
  <c r="Q66" i="26"/>
  <c r="P66" i="26"/>
  <c r="C66" i="26"/>
  <c r="I66" i="26"/>
  <c r="H66" i="26"/>
  <c r="L66" i="24"/>
  <c r="P66" i="24"/>
  <c r="K66" i="24"/>
  <c r="M66" i="24"/>
  <c r="I66" i="23"/>
  <c r="N66" i="23"/>
  <c r="E66" i="23"/>
  <c r="M66" i="22"/>
  <c r="S66" i="22"/>
  <c r="K66" i="22"/>
  <c r="T66" i="22"/>
  <c r="M66" i="21"/>
  <c r="K66" i="21"/>
  <c r="C66" i="21"/>
  <c r="D66" i="21"/>
  <c r="R66" i="21"/>
  <c r="N64" i="1"/>
  <c r="M64" i="1"/>
  <c r="T64" i="1"/>
  <c r="L64" i="1"/>
  <c r="J64" i="1"/>
  <c r="K64" i="1"/>
  <c r="O64" i="1"/>
  <c r="C64" i="1"/>
  <c r="C65" i="1" s="1"/>
  <c r="I64" i="1"/>
  <c r="I65" i="1" s="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D65" i="1" l="1"/>
  <c r="E65" i="1"/>
  <c r="G65" i="1"/>
  <c r="H65" i="1"/>
  <c r="B65" i="1"/>
  <c r="H66" i="21"/>
  <c r="D66" i="24"/>
  <c r="D66" i="28"/>
  <c r="B66" i="30"/>
  <c r="I66" i="22"/>
  <c r="F65" i="26"/>
  <c r="D66" i="22"/>
  <c r="D66" i="26"/>
  <c r="D66" i="29"/>
  <c r="I66" i="21"/>
  <c r="I65" i="21"/>
  <c r="I66" i="24"/>
  <c r="H66" i="27"/>
  <c r="H65" i="27"/>
  <c r="H66" i="28"/>
  <c r="H65" i="28"/>
  <c r="H66" i="29"/>
  <c r="H65" i="29"/>
  <c r="H66" i="24"/>
  <c r="H65" i="24"/>
  <c r="G66" i="22"/>
  <c r="G65" i="22"/>
  <c r="G66" i="23"/>
  <c r="G65" i="23"/>
  <c r="G66" i="29"/>
  <c r="G65" i="29"/>
  <c r="G66" i="21"/>
  <c r="G65" i="21"/>
  <c r="G66" i="26"/>
  <c r="G65" i="26"/>
  <c r="G66" i="28"/>
  <c r="G65" i="28"/>
  <c r="G66" i="24"/>
  <c r="G65" i="24"/>
  <c r="G66" i="27"/>
  <c r="G65" i="27"/>
  <c r="F66" i="21"/>
  <c r="F65" i="21"/>
  <c r="F66" i="23"/>
  <c r="F65" i="23"/>
  <c r="F66" i="24"/>
  <c r="F65" i="24"/>
  <c r="F66" i="30"/>
  <c r="F65" i="30"/>
  <c r="F66" i="27"/>
  <c r="F65" i="27"/>
  <c r="F66" i="22"/>
  <c r="F65" i="22"/>
  <c r="F66" i="29"/>
  <c r="F65" i="29"/>
  <c r="F66" i="28"/>
  <c r="F65" i="28"/>
  <c r="E66" i="29"/>
  <c r="E65" i="29"/>
  <c r="E66" i="26"/>
  <c r="E65" i="26"/>
  <c r="E66" i="21"/>
  <c r="E65" i="21"/>
  <c r="E66" i="28"/>
  <c r="E65" i="28"/>
  <c r="E66" i="24"/>
  <c r="E65" i="24"/>
  <c r="D66" i="23"/>
  <c r="C66" i="24"/>
  <c r="C65" i="24"/>
  <c r="C66" i="28"/>
  <c r="C65" i="28"/>
  <c r="B66" i="26"/>
  <c r="B65" i="26"/>
  <c r="B66" i="27"/>
  <c r="B65" i="27"/>
  <c r="B66" i="28"/>
  <c r="B65" i="28"/>
  <c r="B66" i="29"/>
  <c r="B65" i="29"/>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<sst xmlns="http://schemas.openxmlformats.org/spreadsheetml/2006/main" count="2267" uniqueCount="182">
  <si>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</si>
  <si>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</si>
  <si>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</si>
  <si>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</si>
  <si>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</si>
  <si>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</si>
  <si>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</si>
  <si>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</si>
  <si>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</si>
  <si>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</si>
  <si>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</si>
  <si>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</si>
  <si>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</si>
  <si>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</si>
  <si>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</si>
  <si>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</si>
  <si>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</si>
  <si>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</si>
  <si>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</si>
  <si>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</si>
  <si>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</si>
  <si>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</si>
  <si>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</si>
  <si>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</si>
  <si>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</si>
  <si>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</si>
  <si>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</si>
  <si>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</si>
  <si>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</si>
  <si>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</si>
  <si>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</si>
  <si>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</si>
  <si>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</si>
  <si>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</si>
  <si>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</si>
  <si>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</si>
  <si>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</si>
  <si>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</si>
  <si>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</si>
  <si>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</si>
  <si>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</si>
  <si>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</si>
  <si>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</si>
  <si>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</si>
  <si>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</si>
  <si>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</si>
  <si>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</si>
  <si>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</si>
  <si>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</si>
  <si>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</si>
  <si>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</si>
  <si>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</si>
  <si>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</si>
  <si>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</si>
  <si>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</si>
  <si>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</si>
  <si>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</si>
  <si>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</si>
  <si>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</si>
  <si>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</si>
  <si>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</si>
  <si>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</si>
  <si>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</si>
  <si>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</si>
  <si>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</si>
  <si>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</si>
  <si>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</si>
  <si>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</si>
  <si>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</si>
  <si>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</si>
  <si>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</si>
  <si>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</si>
  <si>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</si>
  <si>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</si>
  <si>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</si>
  <si>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</si>
  <si>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</si>
  <si>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</si>
  <si>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</si>
  <si>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</si>
  <si>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</si>
  <si>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</si>
  <si>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</si>
  <si>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</si>
  <si>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</si>
  <si>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</si>
  <si>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</si>
  <si>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</si>
  <si>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</si>
  <si>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</si>
  <si>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</si>
  <si>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</si>
  <si>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</si>
  <si>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</si>
  <si>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</si>
  <si>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</si>
  <si>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</si>
  <si>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</si>
  <si>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</si>
  <si>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</si>
  <si>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</si>
  <si>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</si>
  <si>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</si>
  <si>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</si>
  <si>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</si>
  <si>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</si>
  <si>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</si>
  <si>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</si>
  <si>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</si>
  <si>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</si>
  <si>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</si>
  <si>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</si>
  <si>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</si>
  <si>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</si>
  <si>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</si>
  <si>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</si>
  <si>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</si>
  <si>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</si>
  <si>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</si>
  <si>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</si>
  <si>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</si>
  <si>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</si>
  <si>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</si>
  <si>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</si>
  <si>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</si>
  <si>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</si>
  <si>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</si>
  <si>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</si>
  <si>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</si>
  <si>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</si>
  <si>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</si>
  <si>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</si>
  <si>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</si>
  <si>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</si>
  <si>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</si>
  <si>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</si>
  <si>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</si>
  <si>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</si>
  <si>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</si>
  <si>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</si>
  <si>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</si>
  <si>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</si>
  <si>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</si>
  <si>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</si>
  <si>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</si>
  <si>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</si>
  <si>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</si>
  <si>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</si>
  <si>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</si>
  <si>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</si>
  <si>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</si>
  <si>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</si>
  <si>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</si>
  <si>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</si>
  <si>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</si>
  <si>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</si>
  <si>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</si>
  <si>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</si>
  <si>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</si>
  <si>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</si>
  <si>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PAN-016059</t>
  </si>
  <si>
    <t>KP3594VE</t>
  </si>
  <si>
    <t>Trade Effluent Services Limited</t>
  </si>
  <si>
    <t>Gianluca Broadley</t>
  </si>
  <si>
    <t>Gwysaney Home Farm, Denbigh Road, Mold, CH7 5HE</t>
  </si>
  <si>
    <t>Moderate</t>
  </si>
  <si>
    <t>Beechdean</t>
  </si>
  <si>
    <t>Croda Goole</t>
  </si>
  <si>
    <t>Croda Widnes</t>
  </si>
  <si>
    <t>D Wise</t>
  </si>
  <si>
    <t>Encirc</t>
  </si>
  <si>
    <t xml:space="preserve">Kelloggs </t>
  </si>
  <si>
    <t>Maelor Foods</t>
  </si>
  <si>
    <t>Rowan Foods</t>
  </si>
  <si>
    <t>Secanim</t>
  </si>
  <si>
    <t>Westland Horticulture</t>
  </si>
  <si>
    <t>02 05 01</t>
  </si>
  <si>
    <t>07 07 12</t>
  </si>
  <si>
    <t>02 02 05</t>
  </si>
  <si>
    <t>02 02 04</t>
  </si>
  <si>
    <t>02 07 05</t>
  </si>
  <si>
    <t>02 03 05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</si>
</sst>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14" fontId="5" fillId="3" borderId="3" xfId="0" applyNumberFormat="1"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0" zoomScale="70" zoomScaleNormal="7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9" t="s">
        <v>41</v>
      </c>
      <c r="B1" s="129"/>
      <c r="C1" s="123" t="s">
        <v>160</v>
      </c>
      <c r="D1" s="124"/>
      <c r="E1" s="93" t="s">
        <v>45</v>
      </c>
      <c r="F1" s="96">
        <v>33</v>
      </c>
      <c r="G1" s="125" t="s">
        <v>43</v>
      </c>
      <c r="H1" s="126"/>
      <c r="I1" s="96">
        <v>8</v>
      </c>
      <c r="J1" s="129" t="s">
        <v>153</v>
      </c>
      <c r="K1" s="129"/>
      <c r="L1" s="96">
        <v>25</v>
      </c>
      <c r="AB1" s="18"/>
      <c r="AC1" s="18"/>
      <c r="AD1" s="30" t="s">
        <v>126</v>
      </c>
      <c r="AE1" s="17"/>
      <c r="AF1" s="17"/>
      <c r="AG1" s="18"/>
      <c r="AH1" s="18"/>
      <c r="AI1" s="40" t="s">
        <v>79</v>
      </c>
      <c r="AJ1" s="41" t="s">
        <v>94</v>
      </c>
      <c r="AK1" s="42" t="s">
        <v>95</v>
      </c>
      <c r="AL1" s="43" t="s">
        <v>125</v>
      </c>
      <c r="AM1" s="43" t="s">
        <v>131</v>
      </c>
      <c r="AN1" s="43" t="s">
        <v>111</v>
      </c>
    </row>
    <row r="2" spans="1:40" ht="13" x14ac:dyDescent="0.3">
      <c r="A2" s="129" t="s">
        <v>87</v>
      </c>
      <c r="B2" s="129"/>
      <c r="C2" s="121" t="s">
        <v>161</v>
      </c>
      <c r="D2" s="122"/>
      <c r="E2" s="93" t="s">
        <v>109</v>
      </c>
      <c r="F2" s="120" t="s">
        <v>176</v>
      </c>
      <c r="G2" s="127" t="s">
        <v>110</v>
      </c>
      <c r="H2" s="128"/>
      <c r="I2" s="96">
        <v>330</v>
      </c>
      <c r="J2" s="129" t="s">
        <v>158</v>
      </c>
      <c r="K2" s="129"/>
      <c r="L2" s="96">
        <v>0.02</v>
      </c>
      <c r="AB2" s="30" t="s">
        <v>56</v>
      </c>
      <c r="AC2" s="17"/>
      <c r="AD2" s="30" t="s">
        <v>70</v>
      </c>
      <c r="AE2" s="17"/>
      <c r="AF2" s="17"/>
      <c r="AG2" s="44" t="s">
        <v>76</v>
      </c>
      <c r="AH2" s="18"/>
      <c r="AI2" s="45" t="s">
        <v>126</v>
      </c>
      <c r="AJ2" s="46">
        <v>0</v>
      </c>
      <c r="AK2" s="47">
        <v>0</v>
      </c>
      <c r="AL2" s="10">
        <v>0</v>
      </c>
      <c r="AM2" s="11">
        <v>0</v>
      </c>
      <c r="AN2" s="11">
        <v>0</v>
      </c>
    </row>
    <row r="3" spans="1:40" ht="13" x14ac:dyDescent="0.25">
      <c r="A3" s="125" t="s">
        <v>42</v>
      </c>
      <c r="B3" s="126"/>
      <c r="C3" s="121" t="s">
        <v>162</v>
      </c>
      <c r="D3" s="122"/>
      <c r="E3" s="93" t="s">
        <v>108</v>
      </c>
      <c r="F3" s="31" t="s">
        <v>78</v>
      </c>
      <c r="G3" s="129" t="s">
        <v>159</v>
      </c>
      <c r="H3" s="129"/>
      <c r="I3" s="96">
        <v>2360</v>
      </c>
      <c r="J3" s="125" t="s">
        <v>154</v>
      </c>
      <c r="K3" s="126"/>
      <c r="L3" s="96">
        <f>(L1/(L2*10000))*100</f>
        <v>12.5</v>
      </c>
      <c r="AB3" s="30" t="s">
        <v>57</v>
      </c>
      <c r="AC3" s="17"/>
      <c r="AD3" s="30" t="s">
        <v>71</v>
      </c>
      <c r="AE3" s="17"/>
      <c r="AF3" s="17"/>
      <c r="AG3" s="44" t="s">
        <v>77</v>
      </c>
      <c r="AH3" s="18"/>
      <c r="AI3" s="48" t="s">
        <v>113</v>
      </c>
      <c r="AJ3" s="49">
        <v>1.7</v>
      </c>
      <c r="AK3" s="50">
        <v>6</v>
      </c>
      <c r="AL3" s="51">
        <v>1</v>
      </c>
      <c r="AM3" s="11">
        <v>6.2</v>
      </c>
      <c r="AN3" s="11" t="s">
        <v>112</v>
      </c>
    </row>
    <row r="4" spans="1:40" ht="13" x14ac:dyDescent="0.25">
      <c r="A4" s="129" t="s">
        <v>0</v>
      </c>
      <c r="B4" s="129"/>
      <c r="C4" s="123" t="s">
        <v>164</v>
      </c>
      <c r="D4" s="124"/>
      <c r="E4" s="94" t="s">
        <v>1</v>
      </c>
      <c r="F4" s="95" t="s">
        <v>166</v>
      </c>
      <c r="G4" s="129"/>
      <c r="H4" s="129"/>
      <c r="I4" s="96"/>
      <c r="J4" s="125"/>
      <c r="K4" s="126"/>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9" t="s">
        <v>47</v>
      </c>
      <c r="B5" s="129"/>
      <c r="C5" s="130" t="s">
        <v>163</v>
      </c>
      <c r="D5" s="130"/>
      <c r="E5" s="94"/>
      <c r="F5" s="95"/>
      <c r="G5" s="129"/>
      <c r="H5" s="129"/>
      <c r="I5" s="96"/>
      <c r="J5" s="125"/>
      <c r="K5" s="126"/>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9" t="s">
        <v>2</v>
      </c>
      <c r="B8" s="129"/>
      <c r="C8" s="15">
        <v>1</v>
      </c>
      <c r="D8" s="15">
        <v>2</v>
      </c>
      <c r="E8" s="15">
        <v>3</v>
      </c>
      <c r="F8" s="15">
        <v>4</v>
      </c>
      <c r="G8" s="15">
        <v>5</v>
      </c>
      <c r="H8" s="15">
        <v>6</v>
      </c>
      <c r="I8" s="15">
        <v>7</v>
      </c>
      <c r="J8" s="15">
        <v>8</v>
      </c>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9" t="s">
        <v>3</v>
      </c>
      <c r="B9" s="129"/>
      <c r="C9" s="15">
        <v>1</v>
      </c>
      <c r="D9" s="15" t="s">
        <v>165</v>
      </c>
      <c r="E9" s="15" t="s">
        <v>165</v>
      </c>
      <c r="F9" s="15" t="s">
        <v>165</v>
      </c>
      <c r="G9" s="15">
        <v>1</v>
      </c>
      <c r="H9" s="15">
        <v>1</v>
      </c>
      <c r="I9" s="15">
        <v>1</v>
      </c>
      <c r="J9" s="15">
        <v>1</v>
      </c>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9" t="s">
        <v>4</v>
      </c>
      <c r="B10" s="129"/>
      <c r="C10" s="15">
        <v>6.7</v>
      </c>
      <c r="D10" s="15">
        <v>6.6</v>
      </c>
      <c r="E10" s="15">
        <v>6.9</v>
      </c>
      <c r="F10" s="15">
        <v>6.3</v>
      </c>
      <c r="G10" s="15">
        <v>6.5</v>
      </c>
      <c r="H10" s="15">
        <v>6.8</v>
      </c>
      <c r="I10" s="15">
        <v>6.6</v>
      </c>
      <c r="J10" s="15">
        <v>7.2</v>
      </c>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9" t="s">
        <v>5</v>
      </c>
      <c r="B11" s="129"/>
      <c r="C11" s="15">
        <v>1</v>
      </c>
      <c r="D11" s="15">
        <v>1</v>
      </c>
      <c r="E11" s="15">
        <v>1</v>
      </c>
      <c r="F11" s="15">
        <v>1</v>
      </c>
      <c r="G11" s="15">
        <v>1</v>
      </c>
      <c r="H11" s="15">
        <v>3</v>
      </c>
      <c r="I11" s="15">
        <v>3</v>
      </c>
      <c r="J11" s="15">
        <v>1</v>
      </c>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9" t="s">
        <v>6</v>
      </c>
      <c r="B12" s="129"/>
      <c r="C12" s="15">
        <v>1</v>
      </c>
      <c r="D12" s="15">
        <v>1</v>
      </c>
      <c r="E12" s="15">
        <v>1</v>
      </c>
      <c r="F12" s="15">
        <v>1</v>
      </c>
      <c r="G12" s="15">
        <v>1</v>
      </c>
      <c r="H12" s="15">
        <v>1</v>
      </c>
      <c r="I12" s="15">
        <v>1</v>
      </c>
      <c r="J12" s="15">
        <v>1</v>
      </c>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9" t="s">
        <v>7</v>
      </c>
      <c r="B13" s="129"/>
      <c r="C13" s="15">
        <v>1</v>
      </c>
      <c r="D13" s="15">
        <v>1</v>
      </c>
      <c r="E13" s="15">
        <v>1</v>
      </c>
      <c r="F13" s="15">
        <v>1</v>
      </c>
      <c r="G13" s="15">
        <v>1</v>
      </c>
      <c r="H13" s="15">
        <v>1</v>
      </c>
      <c r="I13" s="15">
        <v>1</v>
      </c>
      <c r="J13" s="15">
        <v>1</v>
      </c>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8" t="s">
        <v>8</v>
      </c>
      <c r="B14" s="138"/>
      <c r="C14" s="100" t="s">
        <v>105</v>
      </c>
      <c r="D14" s="100" t="s">
        <v>113</v>
      </c>
      <c r="E14" s="100" t="s">
        <v>113</v>
      </c>
      <c r="F14" s="100" t="s">
        <v>113</v>
      </c>
      <c r="G14" s="100" t="s">
        <v>105</v>
      </c>
      <c r="H14" s="100" t="s">
        <v>123</v>
      </c>
      <c r="I14" s="100" t="s">
        <v>123</v>
      </c>
      <c r="J14" s="100" t="s">
        <v>123</v>
      </c>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7" t="s">
        <v>9</v>
      </c>
      <c r="B15" s="137"/>
      <c r="C15" s="15">
        <v>40</v>
      </c>
      <c r="D15" s="15">
        <v>38</v>
      </c>
      <c r="E15" s="15">
        <v>38</v>
      </c>
      <c r="F15" s="15">
        <v>38</v>
      </c>
      <c r="G15" s="15">
        <v>40</v>
      </c>
      <c r="H15" s="15">
        <v>8</v>
      </c>
      <c r="I15" s="15">
        <v>8</v>
      </c>
      <c r="J15" s="15">
        <v>8</v>
      </c>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9" t="s">
        <v>44</v>
      </c>
      <c r="B16" s="139"/>
      <c r="C16" s="101" t="s">
        <v>71</v>
      </c>
      <c r="D16" s="101" t="s">
        <v>71</v>
      </c>
      <c r="E16" s="101" t="s">
        <v>71</v>
      </c>
      <c r="F16" s="101" t="s">
        <v>71</v>
      </c>
      <c r="G16" s="101" t="s">
        <v>71</v>
      </c>
      <c r="H16" s="101" t="s">
        <v>71</v>
      </c>
      <c r="I16" s="101" t="s">
        <v>71</v>
      </c>
      <c r="J16" s="101" t="s">
        <v>71</v>
      </c>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20.619000000000003</v>
      </c>
      <c r="D18" s="16">
        <f>$D32</f>
        <v>20.619000000000003</v>
      </c>
      <c r="E18" s="16">
        <f>$D33</f>
        <v>20.619000000000003</v>
      </c>
      <c r="F18" s="16">
        <f>$D34</f>
        <v>20.619000000000003</v>
      </c>
      <c r="G18" s="16">
        <f>$D35</f>
        <v>20.619000000000003</v>
      </c>
      <c r="H18" s="16">
        <f>$D36</f>
        <v>20.619000000000003</v>
      </c>
      <c r="I18" s="16">
        <f>$D37</f>
        <v>20.619000000000003</v>
      </c>
      <c r="J18" s="16">
        <f>$D38</f>
        <v>20.619000000000003</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-35.381</v>
      </c>
      <c r="D19" s="16">
        <f t="shared" ref="D19:V19" si="1">D18-D17</f>
        <v>-43.980999999999995</v>
      </c>
      <c r="E19" s="16">
        <f t="shared" si="1"/>
        <v>-43.980999999999995</v>
      </c>
      <c r="F19" s="16">
        <f t="shared" si="1"/>
        <v>-43.980999999999995</v>
      </c>
      <c r="G19" s="16">
        <f t="shared" si="1"/>
        <v>-35.381</v>
      </c>
      <c r="H19" s="16">
        <f t="shared" si="1"/>
        <v>-31.380999999999997</v>
      </c>
      <c r="I19" s="16">
        <f t="shared" si="1"/>
        <v>-31.380999999999997</v>
      </c>
      <c r="J19" s="16">
        <f t="shared" si="1"/>
        <v>-31.380999999999997</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26.630500000000005</v>
      </c>
      <c r="D22" s="16">
        <f>$E32</f>
        <v>26.630500000000005</v>
      </c>
      <c r="E22" s="16">
        <f>$E33</f>
        <v>26.630500000000005</v>
      </c>
      <c r="F22" s="16">
        <f>$E34</f>
        <v>26.630500000000005</v>
      </c>
      <c r="G22" s="16">
        <f>$E35</f>
        <v>26.630500000000005</v>
      </c>
      <c r="H22" s="16">
        <f>$E36</f>
        <v>26.630500000000005</v>
      </c>
      <c r="I22" s="16">
        <f>$E37</f>
        <v>26.630500000000005</v>
      </c>
      <c r="J22" s="16">
        <f>$E38</f>
        <v>26.630500000000005</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-149.36949999999999</v>
      </c>
      <c r="D23" s="16">
        <f t="shared" ref="D23:V23" si="3">D22-D21</f>
        <v>-201.36949999999999</v>
      </c>
      <c r="E23" s="16">
        <f t="shared" si="3"/>
        <v>-201.36949999999999</v>
      </c>
      <c r="F23" s="16">
        <f t="shared" si="3"/>
        <v>-201.36949999999999</v>
      </c>
      <c r="G23" s="16">
        <f t="shared" si="3"/>
        <v>-149.36949999999999</v>
      </c>
      <c r="H23" s="16">
        <f t="shared" si="3"/>
        <v>-17.369499999999995</v>
      </c>
      <c r="I23" s="16">
        <f t="shared" si="3"/>
        <v>-17.369499999999995</v>
      </c>
      <c r="J23" s="16">
        <f t="shared" si="3"/>
        <v>-17.369499999999995</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1.28</v>
      </c>
      <c r="C28" s="15">
        <v>0.02</v>
      </c>
      <c r="D28" s="15">
        <v>36</v>
      </c>
      <c r="E28" s="15">
        <v>88.4</v>
      </c>
      <c r="F28" s="15">
        <v>13.2</v>
      </c>
      <c r="G28" s="15">
        <v>0.2</v>
      </c>
      <c r="H28" s="15">
        <v>0.5</v>
      </c>
      <c r="I28" s="15">
        <v>0.5</v>
      </c>
      <c r="J28" s="15">
        <v>0.01</v>
      </c>
      <c r="K28" s="23">
        <v>0.05</v>
      </c>
      <c r="L28" s="15">
        <v>0.2</v>
      </c>
      <c r="M28" s="15">
        <v>0.2</v>
      </c>
      <c r="N28" s="15"/>
      <c r="O28" s="15"/>
      <c r="P28" s="15">
        <v>445</v>
      </c>
      <c r="Q28" s="15">
        <v>40.200000000000003</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20.619000000000003</v>
      </c>
      <c r="E31" s="77">
        <f>(IF(E$27="%w/w SAR",((E$28*10)*$B31),IF(E$27="%w/w DM",(((E$28*10)*($B$28/100))*$B31),IF(E$27="kg/t SAR",(E$28*$B31),IF(E$27="kg/t DM",((E$28*($B$28/100))*$B31),IF(E$27="mg/kg SAR",((E$28*0.001)*$B31),IF(E$27="mg/kg DM",(((E$28*0.001)*($B$28/100))*$B31),"0")))))))*1.205</f>
        <v>26.630500000000005</v>
      </c>
      <c r="F31" s="77">
        <f>(IF(F$27="%w/w SAR",((F$28*10)*$B31),IF(F$27="%w/w DM",(((F$28*10)*($B$28/100))*$B31),IF(F$27="kg/t SAR",(F$28*$B31),IF(F$27="kg/t DM",((F$28*($B$28/100))*$B31),IF(F$27="mg/kg SAR",((F$28*0.001)*$B31),IF(F$27="mg/kg DM",(((F$28*0.001)*($B$28/100))*$B31),"0")))))))*1.658</f>
        <v>5.4713999999999992</v>
      </c>
      <c r="G31" s="77">
        <f t="shared" ref="G31:P31"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111.25</v>
      </c>
      <c r="Q31" s="77">
        <f>(IF(Q$27="%w/w SAR",((Q$28*10)*$B31),IF(Q$27="%w/w DM",(((Q$28*10)*($B$28/100))*$B31),IF(Q$27="kg/t SAR",(Q$28*$B31),IF(Q$27="kg/t DM",((Q$28*($B$28/100))*$B31),IF(Q$27="mg/kg SAR",((Q$28*0.001)*$B31),IF(Q$27="mg/kg DM",(((Q$28*0.001)*($B$28/100))*$B31),0)))))))*2.5</f>
        <v>25.125000000000007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20.619000000000003</v>
      </c>
      <c r="E32" s="77">
        <f t="shared" ref="E32:E50" si="8">(IF(E$27="%w/w SAR",((E$28*10)*$B32),IF(E$27="%w/w DM",(((E$28*10)*($B$28/100))*$B32),IF(E$27="kg/t SAR",(E$28*$B32),IF(E$27="kg/t DM",((E$28*($B$28/100))*$B32),IF(E$27="mg/kg SAR",((E$28*0.001)*$B32),IF(E$27="mg/kg DM",(((E$28*0.001)*($B$28/100))*$B32),"0")))))))*1.205</f>
        <v>26.630500000000005</v>
      </c>
      <c r="F32" s="77">
        <f t="shared" ref="F32:F50" si="9">(IF(F$27="%w/w SAR",((F$28*10)*$B32),IF(F$27="%w/w DM",(((F$28*10)*($B$28/100))*$B32),IF(F$27="kg/t SAR",(F$28*$B32),IF(F$27="kg/t DM",((F$28*($B$28/100))*$B32),IF(F$27="mg/kg SAR",((F$28*0.001)*$B32),IF(F$27="mg/kg DM",(((F$28*0.001)*($B$28/100))*$B32),"0")))))))*1.658</f>
        <v>5.4713999999999992</v>
      </c>
      <c r="G32" s="77">
        <f t="shared" ref="G32:P50" si="10">IF(G$27="%w/w SAR",((G$28*10)*$B32),IF(G$27="%w/w DM",(((G$28*10)*($B$28/100))*$B32),IF(G$27="kg/t SAR",(G$28*$B32),IF(G$27="kg/t DM",((G$28*($B$28/100))*$B32),IF(G$27="mg/kg SAR",((G$28*0.001)*$B32),IF(G$27="mg/kg DM",(((G$28*0.001)*($B$28/100))*$B32),0))))))</f>
        <v>0.05</v>
      </c>
      <c r="H32" s="77">
        <f t="shared" si="10"/>
        <v>0.125</v>
      </c>
      <c r="I32" s="77">
        <f t="shared" si="10"/>
        <v>0.125</v>
      </c>
      <c r="J32" s="77">
        <f t="shared" si="10"/>
        <v>2.5000000000000001E-3</v>
      </c>
      <c r="K32" s="77">
        <f t="shared" si="10"/>
        <v>1.2500000000000001E-2</v>
      </c>
      <c r="L32" s="77">
        <f t="shared" si="10"/>
        <v>0.05</v>
      </c>
      <c r="M32" s="77">
        <f t="shared" si="10"/>
        <v>0.05</v>
      </c>
      <c r="N32" s="77">
        <f t="shared" si="10"/>
        <v>0</v>
      </c>
      <c r="O32" s="77">
        <f t="shared" si="10"/>
        <v>0</v>
      </c>
      <c r="P32" s="77">
        <f t="shared" si="10"/>
        <v>111.25</v>
      </c>
      <c r="Q32" s="77">
        <f t="shared" ref="Q32:Q50" si="11">(IF(Q$27="%w/w SAR",((Q$28*10)*$B32),IF(Q$27="%w/w DM",(((Q$28*10)*($B$28/100))*$B32),IF(Q$27="kg/t SAR",(Q$28*$B32),IF(Q$27="kg/t DM",((Q$28*($B$28/100))*$B32),IF(Q$27="mg/kg SAR",((Q$28*0.001)*$B32),IF(Q$27="mg/kg DM",(((Q$28*0.001)*($B$28/100))*$B32),0)))))))*2.5</f>
        <v>25.125000000000007</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250</v>
      </c>
      <c r="C33" s="77">
        <f t="shared" si="6"/>
        <v>50</v>
      </c>
      <c r="D33" s="77">
        <f t="shared" si="7"/>
        <v>20.619000000000003</v>
      </c>
      <c r="E33" s="77">
        <f t="shared" si="8"/>
        <v>26.630500000000005</v>
      </c>
      <c r="F33" s="77">
        <f t="shared" si="9"/>
        <v>5.4713999999999992</v>
      </c>
      <c r="G33" s="77">
        <f t="shared" si="10"/>
        <v>0.05</v>
      </c>
      <c r="H33" s="77">
        <f t="shared" si="10"/>
        <v>0.125</v>
      </c>
      <c r="I33" s="77">
        <f t="shared" si="10"/>
        <v>0.125</v>
      </c>
      <c r="J33" s="77">
        <f t="shared" si="10"/>
        <v>2.5000000000000001E-3</v>
      </c>
      <c r="K33" s="77">
        <f t="shared" si="10"/>
        <v>1.2500000000000001E-2</v>
      </c>
      <c r="L33" s="77">
        <f t="shared" si="10"/>
        <v>0.05</v>
      </c>
      <c r="M33" s="77">
        <f t="shared" si="10"/>
        <v>0.05</v>
      </c>
      <c r="N33" s="77">
        <f t="shared" si="10"/>
        <v>0</v>
      </c>
      <c r="O33" s="77">
        <f t="shared" si="10"/>
        <v>0</v>
      </c>
      <c r="P33" s="77">
        <f t="shared" si="10"/>
        <v>111.25</v>
      </c>
      <c r="Q33" s="77">
        <f t="shared" si="11"/>
        <v>25.125000000000007</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250</v>
      </c>
      <c r="C34" s="77">
        <f t="shared" si="6"/>
        <v>50</v>
      </c>
      <c r="D34" s="77">
        <f t="shared" si="7"/>
        <v>20.619000000000003</v>
      </c>
      <c r="E34" s="77">
        <f t="shared" si="8"/>
        <v>26.630500000000005</v>
      </c>
      <c r="F34" s="77">
        <f t="shared" si="9"/>
        <v>5.4713999999999992</v>
      </c>
      <c r="G34" s="77">
        <f t="shared" si="10"/>
        <v>0.05</v>
      </c>
      <c r="H34" s="77">
        <f t="shared" si="10"/>
        <v>0.125</v>
      </c>
      <c r="I34" s="77">
        <f t="shared" si="10"/>
        <v>0.125</v>
      </c>
      <c r="J34" s="77">
        <f t="shared" si="10"/>
        <v>2.5000000000000001E-3</v>
      </c>
      <c r="K34" s="77">
        <f t="shared" si="10"/>
        <v>1.2500000000000001E-2</v>
      </c>
      <c r="L34" s="77">
        <f t="shared" si="10"/>
        <v>0.05</v>
      </c>
      <c r="M34" s="77">
        <f t="shared" si="10"/>
        <v>0.05</v>
      </c>
      <c r="N34" s="77">
        <f t="shared" si="10"/>
        <v>0</v>
      </c>
      <c r="O34" s="77">
        <f t="shared" si="10"/>
        <v>0</v>
      </c>
      <c r="P34" s="77">
        <f t="shared" si="10"/>
        <v>111.25</v>
      </c>
      <c r="Q34" s="77">
        <f t="shared" si="11"/>
        <v>25.125000000000007</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250</v>
      </c>
      <c r="C35" s="77">
        <f t="shared" si="6"/>
        <v>50</v>
      </c>
      <c r="D35" s="77">
        <f t="shared" si="7"/>
        <v>20.619000000000003</v>
      </c>
      <c r="E35" s="77">
        <f t="shared" si="8"/>
        <v>26.630500000000005</v>
      </c>
      <c r="F35" s="77">
        <f t="shared" si="9"/>
        <v>5.4713999999999992</v>
      </c>
      <c r="G35" s="77">
        <f t="shared" si="10"/>
        <v>0.05</v>
      </c>
      <c r="H35" s="77">
        <f t="shared" si="10"/>
        <v>0.125</v>
      </c>
      <c r="I35" s="77">
        <f t="shared" si="10"/>
        <v>0.125</v>
      </c>
      <c r="J35" s="77">
        <f t="shared" si="10"/>
        <v>2.5000000000000001E-3</v>
      </c>
      <c r="K35" s="77">
        <f t="shared" si="10"/>
        <v>1.2500000000000001E-2</v>
      </c>
      <c r="L35" s="77">
        <f t="shared" si="10"/>
        <v>0.05</v>
      </c>
      <c r="M35" s="77">
        <f t="shared" si="10"/>
        <v>0.05</v>
      </c>
      <c r="N35" s="77">
        <f t="shared" si="10"/>
        <v>0</v>
      </c>
      <c r="O35" s="77">
        <f t="shared" si="10"/>
        <v>0</v>
      </c>
      <c r="P35" s="77">
        <f t="shared" si="10"/>
        <v>111.25</v>
      </c>
      <c r="Q35" s="77">
        <f t="shared" si="11"/>
        <v>25.125000000000007</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250</v>
      </c>
      <c r="C36" s="77">
        <f t="shared" si="6"/>
        <v>50</v>
      </c>
      <c r="D36" s="77">
        <f t="shared" si="7"/>
        <v>20.619000000000003</v>
      </c>
      <c r="E36" s="77">
        <f t="shared" si="8"/>
        <v>26.630500000000005</v>
      </c>
      <c r="F36" s="77">
        <f t="shared" si="9"/>
        <v>5.4713999999999992</v>
      </c>
      <c r="G36" s="77">
        <f t="shared" si="10"/>
        <v>0.05</v>
      </c>
      <c r="H36" s="77">
        <f t="shared" si="10"/>
        <v>0.125</v>
      </c>
      <c r="I36" s="77">
        <f t="shared" si="10"/>
        <v>0.125</v>
      </c>
      <c r="J36" s="77">
        <f t="shared" si="10"/>
        <v>2.5000000000000001E-3</v>
      </c>
      <c r="K36" s="77">
        <f t="shared" si="10"/>
        <v>1.2500000000000001E-2</v>
      </c>
      <c r="L36" s="77">
        <f t="shared" si="10"/>
        <v>0.05</v>
      </c>
      <c r="M36" s="77">
        <f t="shared" si="10"/>
        <v>0.05</v>
      </c>
      <c r="N36" s="77">
        <f t="shared" si="10"/>
        <v>0</v>
      </c>
      <c r="O36" s="77">
        <f t="shared" si="10"/>
        <v>0</v>
      </c>
      <c r="P36" s="77">
        <f t="shared" si="10"/>
        <v>111.25</v>
      </c>
      <c r="Q36" s="77">
        <f t="shared" si="11"/>
        <v>25.125000000000007</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v>
      </c>
      <c r="B37" s="15">
        <v>250</v>
      </c>
      <c r="C37" s="77">
        <f t="shared" si="6"/>
        <v>50</v>
      </c>
      <c r="D37" s="77">
        <f t="shared" si="7"/>
        <v>20.619000000000003</v>
      </c>
      <c r="E37" s="77">
        <f t="shared" si="8"/>
        <v>26.630500000000005</v>
      </c>
      <c r="F37" s="77">
        <f t="shared" si="9"/>
        <v>5.4713999999999992</v>
      </c>
      <c r="G37" s="77">
        <f t="shared" si="10"/>
        <v>0.05</v>
      </c>
      <c r="H37" s="77">
        <f t="shared" si="10"/>
        <v>0.125</v>
      </c>
      <c r="I37" s="77">
        <f t="shared" si="10"/>
        <v>0.125</v>
      </c>
      <c r="J37" s="77">
        <f t="shared" si="10"/>
        <v>2.5000000000000001E-3</v>
      </c>
      <c r="K37" s="77">
        <f t="shared" si="10"/>
        <v>1.2500000000000001E-2</v>
      </c>
      <c r="L37" s="77">
        <f t="shared" si="10"/>
        <v>0.05</v>
      </c>
      <c r="M37" s="77">
        <f t="shared" si="10"/>
        <v>0.05</v>
      </c>
      <c r="N37" s="77">
        <f t="shared" si="10"/>
        <v>0</v>
      </c>
      <c r="O37" s="77">
        <f t="shared" si="10"/>
        <v>0</v>
      </c>
      <c r="P37" s="77">
        <f t="shared" si="10"/>
        <v>111.25</v>
      </c>
      <c r="Q37" s="77">
        <f t="shared" si="11"/>
        <v>25.125000000000007</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8</v>
      </c>
      <c r="B38" s="15">
        <v>250</v>
      </c>
      <c r="C38" s="77">
        <f t="shared" si="6"/>
        <v>50</v>
      </c>
      <c r="D38" s="77">
        <f t="shared" si="7"/>
        <v>20.619000000000003</v>
      </c>
      <c r="E38" s="77">
        <f t="shared" si="8"/>
        <v>26.630500000000005</v>
      </c>
      <c r="F38" s="77">
        <f t="shared" si="9"/>
        <v>5.4713999999999992</v>
      </c>
      <c r="G38" s="77">
        <f t="shared" si="10"/>
        <v>0.05</v>
      </c>
      <c r="H38" s="77">
        <f t="shared" si="10"/>
        <v>0.125</v>
      </c>
      <c r="I38" s="77">
        <f t="shared" si="10"/>
        <v>0.125</v>
      </c>
      <c r="J38" s="77">
        <f t="shared" si="10"/>
        <v>2.5000000000000001E-3</v>
      </c>
      <c r="K38" s="77">
        <f t="shared" si="10"/>
        <v>1.2500000000000001E-2</v>
      </c>
      <c r="L38" s="77">
        <f t="shared" si="10"/>
        <v>0.05</v>
      </c>
      <c r="M38" s="77">
        <f t="shared" si="10"/>
        <v>0.05</v>
      </c>
      <c r="N38" s="77">
        <f t="shared" si="10"/>
        <v>0</v>
      </c>
      <c r="O38" s="77">
        <f t="shared" si="10"/>
        <v>0</v>
      </c>
      <c r="P38" s="77">
        <f t="shared" si="10"/>
        <v>111.25</v>
      </c>
      <c r="Q38" s="77">
        <f t="shared" si="11"/>
        <v>25.125000000000007</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Sandy Loam I Arable</v>
      </c>
      <c r="C58" s="13" t="str">
        <f>D16&amp;" I "&amp;(VLOOKUP(D14,Table24[],6,FALSE))</f>
        <v>Sandy Loam I Grass</v>
      </c>
      <c r="D58" s="13" t="str">
        <f>E16&amp;" I "&amp;(VLOOKUP(E14,Table24[],6,FALSE))</f>
        <v>Sandy Loam I Grass</v>
      </c>
      <c r="E58" s="13" t="str">
        <f>F16&amp;" I "&amp;(VLOOKUP(F14,Table24[],6,FALSE))</f>
        <v>Sandy Loam I Grass</v>
      </c>
      <c r="F58" s="13" t="str">
        <f>G16&amp;" I "&amp;(VLOOKUP(G14,Table24[],6,FALSE))</f>
        <v>Sandy Loam I Arable</v>
      </c>
      <c r="G58" s="13" t="str">
        <f>H16&amp;" I "&amp;(VLOOKUP(H14,Table24[],6,FALSE))</f>
        <v>Sandy Loam I Arable</v>
      </c>
      <c r="H58" s="13" t="str">
        <f>I16&amp;" I "&amp;(VLOOKUP(I14,Table24[],6,FALSE))</f>
        <v>Sandy Loam I Arable</v>
      </c>
      <c r="I58" s="13" t="str">
        <f>J16&amp;" I "&amp;(VLOOKUP(J14,Table24[],6,FALSE))</f>
        <v>Sandy Loam I Arable</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6.2</v>
      </c>
      <c r="D59" s="76">
        <f>VLOOKUP(E$14,Table24[],5,FALSE)</f>
        <v>6.2</v>
      </c>
      <c r="E59" s="76">
        <f>VLOOKUP(F$14,Table24[],5,FALSE)</f>
        <v>6.2</v>
      </c>
      <c r="F59" s="76">
        <f>VLOOKUP(G$14,Table24[],5,FALSE)</f>
        <v>6.7</v>
      </c>
      <c r="G59" s="76">
        <f>VLOOKUP(H$14,Table24[],5,FALSE)</f>
        <v>6.7</v>
      </c>
      <c r="H59" s="76">
        <f>VLOOKUP(I$14,Table24[],5,FALSE)</f>
        <v>6.7</v>
      </c>
      <c r="I59" s="76">
        <f>VLOOKUP(J$14,Table24[],5,FALSE)</f>
        <v>6.7</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3" zoomScale="70" zoomScaleNormal="7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PAN-016059</v>
      </c>
      <c r="D1" s="143"/>
      <c r="E1" s="93" t="s">
        <v>45</v>
      </c>
      <c r="F1" s="39">
        <f>Beechdean!F1</f>
        <v>33</v>
      </c>
      <c r="G1" s="125" t="s">
        <v>43</v>
      </c>
      <c r="H1" s="126"/>
      <c r="I1" s="118">
        <v>6.89</v>
      </c>
      <c r="J1" s="129" t="s">
        <v>153</v>
      </c>
      <c r="K1" s="129"/>
      <c r="L1" s="97">
        <v>146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Beechdean!C2:D2</f>
        <v>KP3594VE</v>
      </c>
      <c r="D2" s="145"/>
      <c r="E2" s="93" t="s">
        <v>109</v>
      </c>
      <c r="F2" s="96" t="s">
        <v>177</v>
      </c>
      <c r="G2" s="127" t="s">
        <v>110</v>
      </c>
      <c r="H2" s="128"/>
      <c r="I2" s="118">
        <v>3182</v>
      </c>
      <c r="J2" s="129" t="s">
        <v>158</v>
      </c>
      <c r="K2" s="129"/>
      <c r="L2" s="97">
        <v>0.26</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Beechdean!C3:D3</f>
        <v>Trade Effluent Services Limited</v>
      </c>
      <c r="D3" s="145"/>
      <c r="E3" s="93" t="s">
        <v>108</v>
      </c>
      <c r="F3" s="31" t="s">
        <v>78</v>
      </c>
      <c r="G3" s="129" t="s">
        <v>159</v>
      </c>
      <c r="H3" s="129"/>
      <c r="I3" s="118"/>
      <c r="J3" s="125" t="s">
        <v>154</v>
      </c>
      <c r="K3" s="126"/>
      <c r="L3" s="97">
        <f>(L1/(L2*10000))*100</f>
        <v>5.615384615384615</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Beechdean!C4:D4</f>
        <v>Gwysaney Home Farm, Denbigh Road, Mold, CH7 5HE</v>
      </c>
      <c r="D4" s="143"/>
      <c r="E4" s="94" t="s">
        <v>1</v>
      </c>
      <c r="F4" s="96" t="s">
        <v>167</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Beechdean!C5:D5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Beechdean!C8</f>
        <v>1</v>
      </c>
      <c r="D8" s="60">
        <f>Beechdean!D8</f>
        <v>2</v>
      </c>
      <c r="E8" s="60">
        <f>Beechdean!E8</f>
        <v>3</v>
      </c>
      <c r="F8" s="60">
        <f>Beechdean!F8</f>
        <v>4</v>
      </c>
      <c r="G8" s="60">
        <f>Beechdean!G8</f>
        <v>5</v>
      </c>
      <c r="H8" s="60">
        <f>Beechdean!H8</f>
        <v>6</v>
      </c>
      <c r="I8" s="60">
        <f>Beechdean!I8</f>
        <v>7</v>
      </c>
      <c r="J8" s="60">
        <f>Beechdean!J8</f>
        <v>8</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Beechdean!C9</f>
        <v>1</v>
      </c>
      <c r="D9" s="60" t="str">
        <f>Beechdean!D9</f>
        <v>Moderate</v>
      </c>
      <c r="E9" s="60" t="str">
        <f>Beechdean!E9</f>
        <v>Moderate</v>
      </c>
      <c r="F9" s="60" t="str">
        <f>Beechdean!F9</f>
        <v>Moderate</v>
      </c>
      <c r="G9" s="60">
        <f>Beechdean!G9</f>
        <v>1</v>
      </c>
      <c r="H9" s="60">
        <f>Beechdean!H9</f>
        <v>1</v>
      </c>
      <c r="I9" s="60">
        <f>Beechdean!I9</f>
        <v>1</v>
      </c>
      <c r="J9" s="60">
        <f>Beechdean!J9</f>
        <v>1</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Beechdean!C10</f>
        <v>6.7</v>
      </c>
      <c r="D10" s="60">
        <f>Beechdean!D10</f>
        <v>6.6</v>
      </c>
      <c r="E10" s="60">
        <f>Beechdean!E10</f>
        <v>6.9</v>
      </c>
      <c r="F10" s="60">
        <f>Beechdean!F10</f>
        <v>6.3</v>
      </c>
      <c r="G10" s="60">
        <f>Beechdean!G10</f>
        <v>6.5</v>
      </c>
      <c r="H10" s="60">
        <f>Beechdean!H10</f>
        <v>6.8</v>
      </c>
      <c r="I10" s="60">
        <f>Beechdean!I10</f>
        <v>6.6</v>
      </c>
      <c r="J10" s="60">
        <f>Beechdean!J10</f>
        <v>7.2</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Beechdean!C11</f>
        <v>1</v>
      </c>
      <c r="D11" s="60">
        <f>Beechdean!D11</f>
        <v>1</v>
      </c>
      <c r="E11" s="60">
        <f>Beechdean!E11</f>
        <v>1</v>
      </c>
      <c r="F11" s="60">
        <f>Beechdean!F11</f>
        <v>1</v>
      </c>
      <c r="G11" s="60">
        <f>Beechdean!G11</f>
        <v>1</v>
      </c>
      <c r="H11" s="60">
        <f>Beechdean!H11</f>
        <v>3</v>
      </c>
      <c r="I11" s="60">
        <f>Beechdean!I11</f>
        <v>3</v>
      </c>
      <c r="J11" s="60">
        <f>Beechdean!J11</f>
        <v>1</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Beechdean!C12</f>
        <v>1</v>
      </c>
      <c r="D12" s="60">
        <f>Beechdean!D12</f>
        <v>1</v>
      </c>
      <c r="E12" s="60">
        <f>Beechdean!E12</f>
        <v>1</v>
      </c>
      <c r="F12" s="60">
        <f>Beechdean!F12</f>
        <v>1</v>
      </c>
      <c r="G12" s="60">
        <f>Beechdean!G12</f>
        <v>1</v>
      </c>
      <c r="H12" s="60">
        <f>Beechdean!H12</f>
        <v>1</v>
      </c>
      <c r="I12" s="60">
        <f>Beechdean!I12</f>
        <v>1</v>
      </c>
      <c r="J12" s="60">
        <f>Beechdean!J12</f>
        <v>1</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Beechdean!C13</f>
        <v>1</v>
      </c>
      <c r="D13" s="60">
        <f>Beechdean!D13</f>
        <v>1</v>
      </c>
      <c r="E13" s="60">
        <f>Beechdean!E13</f>
        <v>1</v>
      </c>
      <c r="F13" s="60">
        <f>Beechdean!F13</f>
        <v>1</v>
      </c>
      <c r="G13" s="60">
        <f>Beechdean!G13</f>
        <v>1</v>
      </c>
      <c r="H13" s="60">
        <f>Beechdean!H13</f>
        <v>1</v>
      </c>
      <c r="I13" s="60">
        <f>Beechdean!I13</f>
        <v>1</v>
      </c>
      <c r="J13" s="60">
        <f>Beechdean!J13</f>
        <v>1</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Beechdean!C14</f>
        <v>Maize- Silage (30% DM)</v>
      </c>
      <c r="D14" s="102" t="str">
        <f>Beechdean!D14</f>
        <v xml:space="preserve">Grass Silage (25% DM) </v>
      </c>
      <c r="E14" s="102" t="str">
        <f>Beechdean!E14</f>
        <v xml:space="preserve">Grass Silage (25% DM) </v>
      </c>
      <c r="F14" s="102" t="str">
        <f>Beechdean!F14</f>
        <v xml:space="preserve">Grass Silage (25% DM) </v>
      </c>
      <c r="G14" s="102" t="str">
        <f>Beechdean!G14</f>
        <v>Maize- Silage (30% DM)</v>
      </c>
      <c r="H14" s="102" t="str">
        <f>Beechdean!H14</f>
        <v xml:space="preserve">Winter wheat- grain only </v>
      </c>
      <c r="I14" s="102" t="str">
        <f>Beechdean!I14</f>
        <v xml:space="preserve">Winter wheat- grain only </v>
      </c>
      <c r="J14" s="102" t="str">
        <f>Beechdean!J14</f>
        <v xml:space="preserve">Winter wheat- grain only </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7" t="s">
        <v>9</v>
      </c>
      <c r="B15" s="137"/>
      <c r="C15" s="60">
        <f>Beechdean!C15</f>
        <v>40</v>
      </c>
      <c r="D15" s="60">
        <f>Beechdean!D15</f>
        <v>38</v>
      </c>
      <c r="E15" s="60">
        <f>Beechdean!E15</f>
        <v>38</v>
      </c>
      <c r="F15" s="60">
        <f>Beechdean!F15</f>
        <v>38</v>
      </c>
      <c r="G15" s="60">
        <f>Beechdean!G15</f>
        <v>40</v>
      </c>
      <c r="H15" s="60">
        <f>Beechdean!H15</f>
        <v>8</v>
      </c>
      <c r="I15" s="60">
        <f>Beechdean!I15</f>
        <v>8</v>
      </c>
      <c r="J15" s="60">
        <f>Beechdean!J15</f>
        <v>8</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Beechdean!C16</f>
        <v>Sandy Loam</v>
      </c>
      <c r="D16" s="103" t="str">
        <f>Beechdean!D16</f>
        <v>Sandy Loam</v>
      </c>
      <c r="E16" s="103" t="str">
        <f>Beechdean!E16</f>
        <v>Sandy Loam</v>
      </c>
      <c r="F16" s="103" t="str">
        <f>Beechdean!F16</f>
        <v>Sandy Loam</v>
      </c>
      <c r="G16" s="103" t="str">
        <f>Beechdean!G16</f>
        <v>Sandy Loam</v>
      </c>
      <c r="H16" s="103" t="str">
        <f>Beechdean!H16</f>
        <v>Sandy Loam</v>
      </c>
      <c r="I16" s="103" t="str">
        <f>Beechdean!I16</f>
        <v>Sandy Loam</v>
      </c>
      <c r="J16" s="103" t="str">
        <f>Beechdean!J16</f>
        <v>Sandy Loam</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54.292118000000002</v>
      </c>
      <c r="D18" s="16">
        <f>$D32</f>
        <v>54.292118000000002</v>
      </c>
      <c r="E18" s="16">
        <f>$D33</f>
        <v>54.292118000000002</v>
      </c>
      <c r="F18" s="16">
        <f>$D34</f>
        <v>54.292118000000002</v>
      </c>
      <c r="G18" s="16">
        <f>$D35</f>
        <v>54.292118000000002</v>
      </c>
      <c r="H18" s="16">
        <f>$D36</f>
        <v>54.292118000000002</v>
      </c>
      <c r="I18" s="16">
        <f>$D37</f>
        <v>54.292118000000002</v>
      </c>
      <c r="J18" s="16">
        <f>$D38</f>
        <v>54.292118000000002</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-1.7078819999999979</v>
      </c>
      <c r="D19" s="16">
        <f t="shared" ref="D19:V19" si="1">D18-D17</f>
        <v>-10.307881999999992</v>
      </c>
      <c r="E19" s="16">
        <f t="shared" si="1"/>
        <v>-10.307881999999992</v>
      </c>
      <c r="F19" s="16">
        <f t="shared" si="1"/>
        <v>-10.307881999999992</v>
      </c>
      <c r="G19" s="16">
        <f t="shared" si="1"/>
        <v>-1.7078819999999979</v>
      </c>
      <c r="H19" s="16">
        <f t="shared" si="1"/>
        <v>2.2921180000000021</v>
      </c>
      <c r="I19" s="16">
        <f t="shared" si="1"/>
        <v>2.2921180000000021</v>
      </c>
      <c r="J19" s="16">
        <f t="shared" si="1"/>
        <v>2.2921180000000021</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12.127120000000001</v>
      </c>
      <c r="D22" s="16">
        <f>$E32</f>
        <v>12.127120000000001</v>
      </c>
      <c r="E22" s="16">
        <f>$E33</f>
        <v>12.127120000000001</v>
      </c>
      <c r="F22" s="16">
        <f>$E34</f>
        <v>12.127120000000001</v>
      </c>
      <c r="G22" s="16">
        <f>$E35</f>
        <v>12.127120000000001</v>
      </c>
      <c r="H22" s="16">
        <f>$E36</f>
        <v>12.127120000000001</v>
      </c>
      <c r="I22" s="16">
        <f>$E37</f>
        <v>12.127120000000001</v>
      </c>
      <c r="J22" s="16">
        <f>$E38</f>
        <v>12.127120000000001</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-163.87288000000001</v>
      </c>
      <c r="D23" s="16">
        <f t="shared" ref="D23:V23" si="3">D22-D21</f>
        <v>-215.87288000000001</v>
      </c>
      <c r="E23" s="16">
        <f t="shared" si="3"/>
        <v>-215.87288000000001</v>
      </c>
      <c r="F23" s="16">
        <f t="shared" si="3"/>
        <v>-215.87288000000001</v>
      </c>
      <c r="G23" s="16">
        <f t="shared" si="3"/>
        <v>-163.87288000000001</v>
      </c>
      <c r="H23" s="16">
        <f t="shared" si="3"/>
        <v>-31.872879999999999</v>
      </c>
      <c r="I23" s="16">
        <f t="shared" si="3"/>
        <v>-31.872879999999999</v>
      </c>
      <c r="J23" s="16">
        <f t="shared" si="3"/>
        <v>-31.872879999999999</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4.3099999999999996</v>
      </c>
      <c r="C28" s="15">
        <v>0.26</v>
      </c>
      <c r="D28" s="15">
        <v>697</v>
      </c>
      <c r="E28" s="15">
        <v>296</v>
      </c>
      <c r="F28" s="15">
        <v>88.2</v>
      </c>
      <c r="G28" s="15">
        <v>0.91</v>
      </c>
      <c r="H28" s="15">
        <v>15.7</v>
      </c>
      <c r="I28" s="15">
        <v>0.5</v>
      </c>
      <c r="J28" s="15">
        <v>0.01</v>
      </c>
      <c r="K28" s="23">
        <v>0.05</v>
      </c>
      <c r="L28" s="15">
        <v>0.62</v>
      </c>
      <c r="M28" s="15">
        <v>3.9</v>
      </c>
      <c r="N28" s="15"/>
      <c r="O28" s="15"/>
      <c r="P28" s="15">
        <v>4202</v>
      </c>
      <c r="Q28" s="15">
        <v>2220</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34</v>
      </c>
      <c r="C31" s="77">
        <f>IF(C$27="%w/w SAR",((C$28*10)*$B31),IF(C$27="%w/w DM",(((C$28*10)*($B$28/100))*$B31),IF(C$27="kg/t SAR",(C$28*$B31),IF(C$27="kg/t DM",((C$28*($B$28/100))*$B31),IF(C$27="mg/kg SAR",((C$28*0.001)*$B31),IF(C$27="mg/kg DM",(((C$28*0.001)*($B$28/100))*$B31),0))))))</f>
        <v>88.4</v>
      </c>
      <c r="D31" s="77">
        <f>(IF(D$27="%w/w SAR",((D$28*10)*$B31),IF(D$27="%w/w DM",(((D$28*10)*($B$28/100))*$B31),IF(D$27="kg/t SAR",(D$28*$B31),IF(D$27="kg/t DM",((D$28*($B$28/100))*$B31),IF(D$27="mg/kg SAR",((D$28*0.001)*$B31),IF(D$27="mg/kg DM",(((D$28*0.001)*($B$28/100))*$B31),"0")))))))*2.291</f>
        <v>54.292118000000002</v>
      </c>
      <c r="E31" s="77">
        <f>(IF(E$27="%w/w SAR",((E$28*10)*$B31),IF(E$27="%w/w DM",(((E$28*10)*($B$28/100))*$B31),IF(E$27="kg/t SAR",(E$28*$B31),IF(E$27="kg/t DM",((E$28*($B$28/100))*$B31),IF(E$27="mg/kg SAR",((E$28*0.001)*$B31),IF(E$27="mg/kg DM",(((E$28*0.001)*($B$28/100))*$B31),"0")))))))*1.205</f>
        <v>12.127120000000001</v>
      </c>
      <c r="F31" s="77">
        <f>(IF(F$27="%w/w SAR",((F$28*10)*$B31),IF(F$27="%w/w DM",(((F$28*10)*($B$28/100))*$B31),IF(F$27="kg/t SAR",(F$28*$B31),IF(F$27="kg/t DM",((F$28*($B$28/100))*$B31),IF(F$27="mg/kg SAR",((F$28*0.001)*$B31),IF(F$27="mg/kg DM",(((F$28*0.001)*($B$28/100))*$B31),"0")))))))*1.658</f>
        <v>4.9720104000000003</v>
      </c>
      <c r="G31" s="77">
        <f t="shared" ref="G31:P46" si="5">IF(G$27="%w/w SAR",((G$28*10)*$B31),IF(G$27="%w/w DM",(((G$28*10)*($B$28/100))*$B31),IF(G$27="kg/t SAR",(G$28*$B31),IF(G$27="kg/t DM",((G$28*($B$28/100))*$B31),IF(G$27="mg/kg SAR",((G$28*0.001)*$B31),IF(G$27="mg/kg DM",(((G$28*0.001)*($B$28/100))*$B31),0))))))</f>
        <v>3.0939999999999999E-2</v>
      </c>
      <c r="H31" s="77">
        <f t="shared" si="5"/>
        <v>0.53379999999999994</v>
      </c>
      <c r="I31" s="77">
        <f t="shared" si="5"/>
        <v>1.7000000000000001E-2</v>
      </c>
      <c r="J31" s="77">
        <f t="shared" si="5"/>
        <v>3.4000000000000002E-4</v>
      </c>
      <c r="K31" s="77">
        <f t="shared" si="5"/>
        <v>1.7000000000000001E-3</v>
      </c>
      <c r="L31" s="77">
        <f t="shared" si="5"/>
        <v>2.1080000000000002E-2</v>
      </c>
      <c r="M31" s="77">
        <f t="shared" si="5"/>
        <v>0.1326</v>
      </c>
      <c r="N31" s="77">
        <f t="shared" si="5"/>
        <v>0</v>
      </c>
      <c r="O31" s="77">
        <f t="shared" si="5"/>
        <v>0</v>
      </c>
      <c r="P31" s="77">
        <f t="shared" si="5"/>
        <v>142.86799999999999</v>
      </c>
      <c r="Q31" s="77">
        <f>(IF(Q$27="%w/w SAR",((Q$28*10)*$B31),IF(Q$27="%w/w DM",(((Q$28*10)*($B$28/100))*$B31),IF(Q$27="kg/t SAR",(Q$28*$B31),IF(Q$27="kg/t DM",((Q$28*($B$28/100))*$B31),IF(Q$27="mg/kg SAR",((Q$28*0.001)*$B31),IF(Q$27="mg/kg DM",(((Q$28*0.001)*($B$28/100))*$B31),0)))))))*2.5</f>
        <v>188.70000000000002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34</v>
      </c>
      <c r="C32" s="77">
        <f t="shared" ref="C32:C50" si="6">IF(C$27="%w/w SAR",((C$28*10)*$B32),IF(C$27="%w/w DM",(((C$28*10)*($B$28/100))*$B32),IF(C$27="kg/t SAR",(C$28*$B32),IF(C$27="kg/t DM",((C$28*($B$28/100))*$B32),IF(C$27="mg/kg SAR",((C$28*0.001)*$B32),IF(C$27="mg/kg DM",(((C$28*0.001)*($B$28/100))*$B32),0))))))</f>
        <v>88.4</v>
      </c>
      <c r="D32" s="77">
        <f t="shared" ref="D32:D50" si="7">(IF(D$27="%w/w SAR",((D$28*10)*$B32),IF(D$27="%w/w DM",(((D$28*10)*($B$28/100))*$B32),IF(D$27="kg/t SAR",(D$28*$B32),IF(D$27="kg/t DM",((D$28*($B$28/100))*$B32),IF(D$27="mg/kg SAR",((D$28*0.001)*$B32),IF(D$27="mg/kg DM",(((D$28*0.001)*($B$28/100))*$B32),"0")))))))*2.291</f>
        <v>54.292118000000002</v>
      </c>
      <c r="E32" s="77">
        <f t="shared" ref="E32:E50" si="8">(IF(E$27="%w/w SAR",((E$28*10)*$B32),IF(E$27="%w/w DM",(((E$28*10)*($B$28/100))*$B32),IF(E$27="kg/t SAR",(E$28*$B32),IF(E$27="kg/t DM",((E$28*($B$28/100))*$B32),IF(E$27="mg/kg SAR",((E$28*0.001)*$B32),IF(E$27="mg/kg DM",(((E$28*0.001)*($B$28/100))*$B32),"0")))))))*1.205</f>
        <v>12.127120000000001</v>
      </c>
      <c r="F32" s="77">
        <f t="shared" ref="F32:F50" si="9">(IF(F$27="%w/w SAR",((F$28*10)*$B32),IF(F$27="%w/w DM",(((F$28*10)*($B$28/100))*$B32),IF(F$27="kg/t SAR",(F$28*$B32),IF(F$27="kg/t DM",((F$28*($B$28/100))*$B32),IF(F$27="mg/kg SAR",((F$28*0.001)*$B32),IF(F$27="mg/kg DM",(((F$28*0.001)*($B$28/100))*$B32),"0")))))))*1.658</f>
        <v>4.9720104000000003</v>
      </c>
      <c r="G32" s="77">
        <f t="shared" si="5"/>
        <v>3.0939999999999999E-2</v>
      </c>
      <c r="H32" s="77">
        <f t="shared" si="5"/>
        <v>0.53379999999999994</v>
      </c>
      <c r="I32" s="77">
        <f t="shared" si="5"/>
        <v>1.7000000000000001E-2</v>
      </c>
      <c r="J32" s="77">
        <f t="shared" si="5"/>
        <v>3.4000000000000002E-4</v>
      </c>
      <c r="K32" s="77">
        <f t="shared" si="5"/>
        <v>1.7000000000000001E-3</v>
      </c>
      <c r="L32" s="77">
        <f t="shared" si="5"/>
        <v>2.1080000000000002E-2</v>
      </c>
      <c r="M32" s="77">
        <f t="shared" si="5"/>
        <v>0.1326</v>
      </c>
      <c r="N32" s="77">
        <f t="shared" si="5"/>
        <v>0</v>
      </c>
      <c r="O32" s="77">
        <f t="shared" si="5"/>
        <v>0</v>
      </c>
      <c r="P32" s="77">
        <f t="shared" si="5"/>
        <v>142.86799999999999</v>
      </c>
      <c r="Q32" s="77">
        <f t="shared" ref="Q32:Q50" si="10">(IF(Q$27="%w/w SAR",((Q$28*10)*$B32),IF(Q$27="%w/w DM",(((Q$28*10)*($B$28/100))*$B32),IF(Q$27="kg/t SAR",(Q$28*$B32),IF(Q$27="kg/t DM",((Q$28*($B$28/100))*$B32),IF(Q$27="mg/kg SAR",((Q$28*0.001)*$B32),IF(Q$27="mg/kg DM",(((Q$28*0.001)*($B$28/100))*$B32),0)))))))*2.5</f>
        <v>188.70000000000002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34</v>
      </c>
      <c r="C33" s="77">
        <f t="shared" si="6"/>
        <v>88.4</v>
      </c>
      <c r="D33" s="77">
        <f t="shared" si="7"/>
        <v>54.292118000000002</v>
      </c>
      <c r="E33" s="77">
        <f t="shared" si="8"/>
        <v>12.127120000000001</v>
      </c>
      <c r="F33" s="77">
        <f t="shared" si="9"/>
        <v>4.9720104000000003</v>
      </c>
      <c r="G33" s="77">
        <f t="shared" si="5"/>
        <v>3.0939999999999999E-2</v>
      </c>
      <c r="H33" s="77">
        <f t="shared" si="5"/>
        <v>0.53379999999999994</v>
      </c>
      <c r="I33" s="77">
        <f t="shared" si="5"/>
        <v>1.7000000000000001E-2</v>
      </c>
      <c r="J33" s="77">
        <f t="shared" si="5"/>
        <v>3.4000000000000002E-4</v>
      </c>
      <c r="K33" s="77">
        <f t="shared" si="5"/>
        <v>1.7000000000000001E-3</v>
      </c>
      <c r="L33" s="77">
        <f t="shared" si="5"/>
        <v>2.1080000000000002E-2</v>
      </c>
      <c r="M33" s="77">
        <f t="shared" si="5"/>
        <v>0.1326</v>
      </c>
      <c r="N33" s="77">
        <f t="shared" si="5"/>
        <v>0</v>
      </c>
      <c r="O33" s="77">
        <f t="shared" si="5"/>
        <v>0</v>
      </c>
      <c r="P33" s="77">
        <f t="shared" si="5"/>
        <v>142.86799999999999</v>
      </c>
      <c r="Q33" s="77">
        <f t="shared" si="10"/>
        <v>188.70000000000002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34</v>
      </c>
      <c r="C34" s="77">
        <f t="shared" si="6"/>
        <v>88.4</v>
      </c>
      <c r="D34" s="77">
        <f t="shared" si="7"/>
        <v>54.292118000000002</v>
      </c>
      <c r="E34" s="77">
        <f t="shared" si="8"/>
        <v>12.127120000000001</v>
      </c>
      <c r="F34" s="77">
        <f t="shared" si="9"/>
        <v>4.9720104000000003</v>
      </c>
      <c r="G34" s="77">
        <f t="shared" si="5"/>
        <v>3.0939999999999999E-2</v>
      </c>
      <c r="H34" s="77">
        <f t="shared" si="5"/>
        <v>0.53379999999999994</v>
      </c>
      <c r="I34" s="77">
        <f t="shared" si="5"/>
        <v>1.7000000000000001E-2</v>
      </c>
      <c r="J34" s="77">
        <f t="shared" si="5"/>
        <v>3.4000000000000002E-4</v>
      </c>
      <c r="K34" s="77">
        <f t="shared" si="5"/>
        <v>1.7000000000000001E-3</v>
      </c>
      <c r="L34" s="77">
        <f t="shared" si="5"/>
        <v>2.1080000000000002E-2</v>
      </c>
      <c r="M34" s="77">
        <f t="shared" si="5"/>
        <v>0.1326</v>
      </c>
      <c r="N34" s="77">
        <f t="shared" si="5"/>
        <v>0</v>
      </c>
      <c r="O34" s="77">
        <f t="shared" si="5"/>
        <v>0</v>
      </c>
      <c r="P34" s="77">
        <f t="shared" si="5"/>
        <v>142.86799999999999</v>
      </c>
      <c r="Q34" s="77">
        <f t="shared" si="10"/>
        <v>188.70000000000002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34</v>
      </c>
      <c r="C35" s="77">
        <f t="shared" si="6"/>
        <v>88.4</v>
      </c>
      <c r="D35" s="77">
        <f t="shared" si="7"/>
        <v>54.292118000000002</v>
      </c>
      <c r="E35" s="77">
        <f t="shared" si="8"/>
        <v>12.127120000000001</v>
      </c>
      <c r="F35" s="77">
        <f t="shared" si="9"/>
        <v>4.9720104000000003</v>
      </c>
      <c r="G35" s="77">
        <f t="shared" si="5"/>
        <v>3.0939999999999999E-2</v>
      </c>
      <c r="H35" s="77">
        <f t="shared" si="5"/>
        <v>0.53379999999999994</v>
      </c>
      <c r="I35" s="77">
        <f t="shared" si="5"/>
        <v>1.7000000000000001E-2</v>
      </c>
      <c r="J35" s="77">
        <f t="shared" si="5"/>
        <v>3.4000000000000002E-4</v>
      </c>
      <c r="K35" s="77">
        <f t="shared" si="5"/>
        <v>1.7000000000000001E-3</v>
      </c>
      <c r="L35" s="77">
        <f t="shared" si="5"/>
        <v>2.1080000000000002E-2</v>
      </c>
      <c r="M35" s="77">
        <f t="shared" si="5"/>
        <v>0.1326</v>
      </c>
      <c r="N35" s="77">
        <f t="shared" si="5"/>
        <v>0</v>
      </c>
      <c r="O35" s="77">
        <f t="shared" si="5"/>
        <v>0</v>
      </c>
      <c r="P35" s="77">
        <f t="shared" si="5"/>
        <v>142.86799999999999</v>
      </c>
      <c r="Q35" s="77">
        <f t="shared" si="10"/>
        <v>188.70000000000002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34</v>
      </c>
      <c r="C36" s="77">
        <f t="shared" si="6"/>
        <v>88.4</v>
      </c>
      <c r="D36" s="77">
        <f t="shared" si="7"/>
        <v>54.292118000000002</v>
      </c>
      <c r="E36" s="77">
        <f t="shared" si="8"/>
        <v>12.127120000000001</v>
      </c>
      <c r="F36" s="77">
        <f t="shared" si="9"/>
        <v>4.9720104000000003</v>
      </c>
      <c r="G36" s="77">
        <f t="shared" si="5"/>
        <v>3.0939999999999999E-2</v>
      </c>
      <c r="H36" s="77">
        <f t="shared" si="5"/>
        <v>0.53379999999999994</v>
      </c>
      <c r="I36" s="77">
        <f t="shared" si="5"/>
        <v>1.7000000000000001E-2</v>
      </c>
      <c r="J36" s="77">
        <f t="shared" si="5"/>
        <v>3.4000000000000002E-4</v>
      </c>
      <c r="K36" s="77">
        <f t="shared" si="5"/>
        <v>1.7000000000000001E-3</v>
      </c>
      <c r="L36" s="77">
        <f t="shared" si="5"/>
        <v>2.1080000000000002E-2</v>
      </c>
      <c r="M36" s="77">
        <f t="shared" si="5"/>
        <v>0.1326</v>
      </c>
      <c r="N36" s="77">
        <f t="shared" si="5"/>
        <v>0</v>
      </c>
      <c r="O36" s="77">
        <f t="shared" si="5"/>
        <v>0</v>
      </c>
      <c r="P36" s="77">
        <f t="shared" si="5"/>
        <v>142.86799999999999</v>
      </c>
      <c r="Q36" s="77">
        <f t="shared" si="10"/>
        <v>188.70000000000002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34</v>
      </c>
      <c r="C37" s="77">
        <f t="shared" si="6"/>
        <v>88.4</v>
      </c>
      <c r="D37" s="77">
        <f t="shared" si="7"/>
        <v>54.292118000000002</v>
      </c>
      <c r="E37" s="77">
        <f t="shared" si="8"/>
        <v>12.127120000000001</v>
      </c>
      <c r="F37" s="77">
        <f t="shared" si="9"/>
        <v>4.9720104000000003</v>
      </c>
      <c r="G37" s="77">
        <f t="shared" si="5"/>
        <v>3.0939999999999999E-2</v>
      </c>
      <c r="H37" s="77">
        <f t="shared" si="5"/>
        <v>0.53379999999999994</v>
      </c>
      <c r="I37" s="77">
        <f t="shared" si="5"/>
        <v>1.7000000000000001E-2</v>
      </c>
      <c r="J37" s="77">
        <f t="shared" si="5"/>
        <v>3.4000000000000002E-4</v>
      </c>
      <c r="K37" s="77">
        <f t="shared" si="5"/>
        <v>1.7000000000000001E-3</v>
      </c>
      <c r="L37" s="77">
        <f t="shared" si="5"/>
        <v>2.1080000000000002E-2</v>
      </c>
      <c r="M37" s="77">
        <f t="shared" si="5"/>
        <v>0.1326</v>
      </c>
      <c r="N37" s="77">
        <f t="shared" si="5"/>
        <v>0</v>
      </c>
      <c r="O37" s="77">
        <f t="shared" si="5"/>
        <v>0</v>
      </c>
      <c r="P37" s="77">
        <f t="shared" si="5"/>
        <v>142.86799999999999</v>
      </c>
      <c r="Q37" s="77">
        <f t="shared" si="10"/>
        <v>188.70000000000002</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34</v>
      </c>
      <c r="C38" s="77">
        <f t="shared" si="6"/>
        <v>88.4</v>
      </c>
      <c r="D38" s="77">
        <f t="shared" si="7"/>
        <v>54.292118000000002</v>
      </c>
      <c r="E38" s="77">
        <f t="shared" si="8"/>
        <v>12.127120000000001</v>
      </c>
      <c r="F38" s="77">
        <f t="shared" si="9"/>
        <v>4.9720104000000003</v>
      </c>
      <c r="G38" s="77">
        <f t="shared" si="5"/>
        <v>3.0939999999999999E-2</v>
      </c>
      <c r="H38" s="77">
        <f t="shared" si="5"/>
        <v>0.53379999999999994</v>
      </c>
      <c r="I38" s="77">
        <f t="shared" si="5"/>
        <v>1.7000000000000001E-2</v>
      </c>
      <c r="J38" s="77">
        <f t="shared" si="5"/>
        <v>3.4000000000000002E-4</v>
      </c>
      <c r="K38" s="77">
        <f t="shared" si="5"/>
        <v>1.7000000000000001E-3</v>
      </c>
      <c r="L38" s="77">
        <f t="shared" si="5"/>
        <v>2.1080000000000002E-2</v>
      </c>
      <c r="M38" s="77">
        <f t="shared" si="5"/>
        <v>0.1326</v>
      </c>
      <c r="N38" s="77">
        <f t="shared" si="5"/>
        <v>0</v>
      </c>
      <c r="O38" s="77">
        <f t="shared" si="5"/>
        <v>0</v>
      </c>
      <c r="P38" s="77">
        <f t="shared" si="5"/>
        <v>142.86799999999999</v>
      </c>
      <c r="Q38" s="77">
        <f t="shared" si="10"/>
        <v>188.70000000000002</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Sandy Loam I Arable</v>
      </c>
      <c r="C58" s="13" t="str">
        <f>D16&amp;" I "&amp;(VLOOKUP(D14,Table245[],6,FALSE))</f>
        <v>Sandy Loam I Grass</v>
      </c>
      <c r="D58" s="13" t="str">
        <f>E16&amp;" I "&amp;(VLOOKUP(E14,Table245[],6,FALSE))</f>
        <v>Sandy Loam I Grass</v>
      </c>
      <c r="E58" s="13" t="str">
        <f>F16&amp;" I "&amp;(VLOOKUP(F14,Table245[],6,FALSE))</f>
        <v>Sandy Loam I Grass</v>
      </c>
      <c r="F58" s="13" t="str">
        <f>G16&amp;" I "&amp;(VLOOKUP(G14,Table245[],6,FALSE))</f>
        <v>Sandy Loam I Arable</v>
      </c>
      <c r="G58" s="13" t="str">
        <f>H16&amp;" I "&amp;(VLOOKUP(H14,Table245[],6,FALSE))</f>
        <v>Sandy Loam I Arable</v>
      </c>
      <c r="H58" s="13" t="str">
        <f>I16&amp;" I "&amp;(VLOOKUP(I14,Table245[],6,FALSE))</f>
        <v>Sandy Loam I Arable</v>
      </c>
      <c r="I58" s="13" t="str">
        <f>J16&amp;" I "&amp;(VLOOKUP(J14,Table245[],6,FALSE))</f>
        <v>Sandy Loam I Arable</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6.2</v>
      </c>
      <c r="D59" s="76">
        <f>VLOOKUP(E$14,Table245[],5,FALSE)</f>
        <v>6.2</v>
      </c>
      <c r="E59" s="76">
        <f>VLOOKUP(F$14,Table245[],5,FALSE)</f>
        <v>6.2</v>
      </c>
      <c r="F59" s="76">
        <f>VLOOKUP(G$14,Table245[],5,FALSE)</f>
        <v>6.7</v>
      </c>
      <c r="G59" s="76">
        <f>VLOOKUP(H$14,Table245[],5,FALSE)</f>
        <v>6.7</v>
      </c>
      <c r="H59" s="76">
        <f>VLOOKUP(I$14,Table245[],5,FALSE)</f>
        <v>6.7</v>
      </c>
      <c r="I59" s="76">
        <f>VLOOKUP(J$14,Table245[],5,FALSE)</f>
        <v>6.7</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34</v>
      </c>
      <c r="C62" s="77">
        <f>B32</f>
        <v>34</v>
      </c>
      <c r="D62" s="77">
        <f>B33</f>
        <v>34</v>
      </c>
      <c r="E62" s="77">
        <f>B34</f>
        <v>34</v>
      </c>
      <c r="F62" s="77">
        <f>B35</f>
        <v>34</v>
      </c>
      <c r="G62" s="77">
        <f>B36</f>
        <v>34</v>
      </c>
      <c r="H62" s="77">
        <f>B37</f>
        <v>34</v>
      </c>
      <c r="I62" s="77">
        <f>B38</f>
        <v>34</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6" zoomScale="70" zoomScaleNormal="7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PAN-016059</v>
      </c>
      <c r="D1" s="143"/>
      <c r="E1" s="93" t="s">
        <v>45</v>
      </c>
      <c r="F1" s="39">
        <f>Beechdean!F1</f>
        <v>33</v>
      </c>
      <c r="G1" s="125" t="s">
        <v>43</v>
      </c>
      <c r="H1" s="126"/>
      <c r="I1" s="118">
        <v>6.98</v>
      </c>
      <c r="J1" s="129" t="s">
        <v>153</v>
      </c>
      <c r="K1" s="129"/>
      <c r="L1" s="97">
        <v>779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Beechdean!C2:D2</f>
        <v>KP3594VE</v>
      </c>
      <c r="D2" s="145"/>
      <c r="E2" s="93" t="s">
        <v>109</v>
      </c>
      <c r="F2" s="96" t="s">
        <v>178</v>
      </c>
      <c r="G2" s="127" t="s">
        <v>110</v>
      </c>
      <c r="H2" s="128"/>
      <c r="I2" s="118">
        <v>1731</v>
      </c>
      <c r="J2" s="129" t="s">
        <v>158</v>
      </c>
      <c r="K2" s="129"/>
      <c r="L2" s="97">
        <v>0.45</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Beechdean!C3:D3</f>
        <v>Trade Effluent Services Limited</v>
      </c>
      <c r="D3" s="145"/>
      <c r="E3" s="93" t="s">
        <v>108</v>
      </c>
      <c r="F3" s="31" t="s">
        <v>78</v>
      </c>
      <c r="G3" s="129" t="s">
        <v>159</v>
      </c>
      <c r="H3" s="129"/>
      <c r="I3" s="118">
        <v>4280</v>
      </c>
      <c r="J3" s="125" t="s">
        <v>154</v>
      </c>
      <c r="K3" s="126"/>
      <c r="L3" s="97">
        <f>(L1/(L2*10000))*100</f>
        <v>17.31111111111111</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Beechdean!C4:D4</f>
        <v>Gwysaney Home Farm, Denbigh Road, Mold, CH7 5HE</v>
      </c>
      <c r="D4" s="143"/>
      <c r="E4" s="94" t="s">
        <v>1</v>
      </c>
      <c r="F4" s="96" t="s">
        <v>168</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Beechdean!C5:D5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Beechdean!C8</f>
        <v>1</v>
      </c>
      <c r="D8" s="60">
        <f>Beechdean!D8</f>
        <v>2</v>
      </c>
      <c r="E8" s="60">
        <f>Beechdean!E8</f>
        <v>3</v>
      </c>
      <c r="F8" s="60">
        <f>Beechdean!F8</f>
        <v>4</v>
      </c>
      <c r="G8" s="60">
        <f>Beechdean!G8</f>
        <v>5</v>
      </c>
      <c r="H8" s="60">
        <f>Beechdean!H8</f>
        <v>6</v>
      </c>
      <c r="I8" s="60">
        <f>Beechdean!I8</f>
        <v>7</v>
      </c>
      <c r="J8" s="60">
        <f>Beechdean!J8</f>
        <v>8</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Beechdean!C9</f>
        <v>1</v>
      </c>
      <c r="D9" s="60" t="str">
        <f>Beechdean!D9</f>
        <v>Moderate</v>
      </c>
      <c r="E9" s="60" t="str">
        <f>Beechdean!E9</f>
        <v>Moderate</v>
      </c>
      <c r="F9" s="60" t="str">
        <f>Beechdean!F9</f>
        <v>Moderate</v>
      </c>
      <c r="G9" s="60">
        <f>Beechdean!G9</f>
        <v>1</v>
      </c>
      <c r="H9" s="60">
        <f>Beechdean!H9</f>
        <v>1</v>
      </c>
      <c r="I9" s="60">
        <f>Beechdean!I9</f>
        <v>1</v>
      </c>
      <c r="J9" s="60">
        <f>Beechdean!J9</f>
        <v>1</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Beechdean!C10</f>
        <v>6.7</v>
      </c>
      <c r="D10" s="60">
        <f>Beechdean!D10</f>
        <v>6.6</v>
      </c>
      <c r="E10" s="60">
        <f>Beechdean!E10</f>
        <v>6.9</v>
      </c>
      <c r="F10" s="60">
        <f>Beechdean!F10</f>
        <v>6.3</v>
      </c>
      <c r="G10" s="60">
        <f>Beechdean!G10</f>
        <v>6.5</v>
      </c>
      <c r="H10" s="60">
        <f>Beechdean!H10</f>
        <v>6.8</v>
      </c>
      <c r="I10" s="60">
        <f>Beechdean!I10</f>
        <v>6.6</v>
      </c>
      <c r="J10" s="60">
        <f>Beechdean!J10</f>
        <v>7.2</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Beechdean!C11</f>
        <v>1</v>
      </c>
      <c r="D11" s="60">
        <f>Beechdean!D11</f>
        <v>1</v>
      </c>
      <c r="E11" s="60">
        <f>Beechdean!E11</f>
        <v>1</v>
      </c>
      <c r="F11" s="60">
        <f>Beechdean!F11</f>
        <v>1</v>
      </c>
      <c r="G11" s="60">
        <f>Beechdean!G11</f>
        <v>1</v>
      </c>
      <c r="H11" s="60">
        <f>Beechdean!H11</f>
        <v>3</v>
      </c>
      <c r="I11" s="60">
        <f>Beechdean!I11</f>
        <v>3</v>
      </c>
      <c r="J11" s="60">
        <f>Beechdean!J11</f>
        <v>1</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Beechdean!C12</f>
        <v>1</v>
      </c>
      <c r="D12" s="60">
        <f>Beechdean!D12</f>
        <v>1</v>
      </c>
      <c r="E12" s="60">
        <f>Beechdean!E12</f>
        <v>1</v>
      </c>
      <c r="F12" s="60">
        <f>Beechdean!F12</f>
        <v>1</v>
      </c>
      <c r="G12" s="60">
        <f>Beechdean!G12</f>
        <v>1</v>
      </c>
      <c r="H12" s="60">
        <f>Beechdean!H12</f>
        <v>1</v>
      </c>
      <c r="I12" s="60">
        <f>Beechdean!I12</f>
        <v>1</v>
      </c>
      <c r="J12" s="60">
        <f>Beechdean!J12</f>
        <v>1</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Beechdean!C13</f>
        <v>1</v>
      </c>
      <c r="D13" s="60">
        <f>Beechdean!D13</f>
        <v>1</v>
      </c>
      <c r="E13" s="60">
        <f>Beechdean!E13</f>
        <v>1</v>
      </c>
      <c r="F13" s="60">
        <f>Beechdean!F13</f>
        <v>1</v>
      </c>
      <c r="G13" s="60">
        <f>Beechdean!G13</f>
        <v>1</v>
      </c>
      <c r="H13" s="60">
        <f>Beechdean!H13</f>
        <v>1</v>
      </c>
      <c r="I13" s="60">
        <f>Beechdean!I13</f>
        <v>1</v>
      </c>
      <c r="J13" s="60">
        <f>Beechdean!J13</f>
        <v>1</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Beechdean!C14</f>
        <v>Maize- Silage (30% DM)</v>
      </c>
      <c r="D14" s="102" t="str">
        <f>Beechdean!D14</f>
        <v xml:space="preserve">Grass Silage (25% DM) </v>
      </c>
      <c r="E14" s="102" t="str">
        <f>Beechdean!E14</f>
        <v xml:space="preserve">Grass Silage (25% DM) </v>
      </c>
      <c r="F14" s="102" t="str">
        <f>Beechdean!F14</f>
        <v xml:space="preserve">Grass Silage (25% DM) </v>
      </c>
      <c r="G14" s="102" t="str">
        <f>Beechdean!G14</f>
        <v>Maize- Silage (30% DM)</v>
      </c>
      <c r="H14" s="102" t="str">
        <f>Beechdean!H14</f>
        <v xml:space="preserve">Winter wheat- grain only </v>
      </c>
      <c r="I14" s="102" t="str">
        <f>Beechdean!I14</f>
        <v xml:space="preserve">Winter wheat- grain only </v>
      </c>
      <c r="J14" s="102" t="str">
        <f>Beechdean!J14</f>
        <v xml:space="preserve">Winter wheat- grain only </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7" t="s">
        <v>9</v>
      </c>
      <c r="B15" s="137"/>
      <c r="C15" s="60">
        <f>Beechdean!C15</f>
        <v>40</v>
      </c>
      <c r="D15" s="60">
        <f>Beechdean!D15</f>
        <v>38</v>
      </c>
      <c r="E15" s="60">
        <f>Beechdean!E15</f>
        <v>38</v>
      </c>
      <c r="F15" s="60">
        <f>Beechdean!F15</f>
        <v>38</v>
      </c>
      <c r="G15" s="60">
        <f>Beechdean!G15</f>
        <v>40</v>
      </c>
      <c r="H15" s="60">
        <f>Beechdean!H15</f>
        <v>8</v>
      </c>
      <c r="I15" s="60">
        <f>Beechdean!I15</f>
        <v>8</v>
      </c>
      <c r="J15" s="60">
        <f>Beechdean!J15</f>
        <v>8</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Beechdean!C16</f>
        <v>Sandy Loam</v>
      </c>
      <c r="D16" s="103" t="str">
        <f>Beechdean!D16</f>
        <v>Sandy Loam</v>
      </c>
      <c r="E16" s="103" t="str">
        <f>Beechdean!E16</f>
        <v>Sandy Loam</v>
      </c>
      <c r="F16" s="103" t="str">
        <f>Beechdean!F16</f>
        <v>Sandy Loam</v>
      </c>
      <c r="G16" s="103" t="str">
        <f>Beechdean!G16</f>
        <v>Sandy Loam</v>
      </c>
      <c r="H16" s="103" t="str">
        <f>Beechdean!H16</f>
        <v>Sandy Loam</v>
      </c>
      <c r="I16" s="103" t="str">
        <f>Beechdean!I16</f>
        <v>Sandy Loam</v>
      </c>
      <c r="J16" s="103" t="str">
        <f>Beechdean!J16</f>
        <v>Sandy Loam</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33.517330000000001</v>
      </c>
      <c r="D18" s="16">
        <f>$D32</f>
        <v>33.517330000000001</v>
      </c>
      <c r="E18" s="16">
        <f>$D33</f>
        <v>33.517330000000001</v>
      </c>
      <c r="F18" s="16">
        <f>$D34</f>
        <v>33.517330000000001</v>
      </c>
      <c r="G18" s="16">
        <f>$D35</f>
        <v>33.517330000000001</v>
      </c>
      <c r="H18" s="16">
        <f>$D36</f>
        <v>33.517330000000001</v>
      </c>
      <c r="I18" s="16">
        <f>$D37</f>
        <v>33.517330000000001</v>
      </c>
      <c r="J18" s="16">
        <f>$D38</f>
        <v>33.517330000000001</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-22.482669999999999</v>
      </c>
      <c r="D19" s="16">
        <f t="shared" ref="D19:V19" si="1">D18-D17</f>
        <v>-31.082669999999993</v>
      </c>
      <c r="E19" s="16">
        <f t="shared" si="1"/>
        <v>-31.082669999999993</v>
      </c>
      <c r="F19" s="16">
        <f t="shared" si="1"/>
        <v>-31.082669999999993</v>
      </c>
      <c r="G19" s="16">
        <f t="shared" si="1"/>
        <v>-22.482669999999999</v>
      </c>
      <c r="H19" s="16">
        <f t="shared" si="1"/>
        <v>-18.482669999999999</v>
      </c>
      <c r="I19" s="16">
        <f t="shared" si="1"/>
        <v>-18.482669999999999</v>
      </c>
      <c r="J19" s="16">
        <f t="shared" si="1"/>
        <v>-18.482669999999999</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(VLOOKUP(D$14,$AI2:$AK24,3,FALSE))*D$15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5.1495675000000007</v>
      </c>
      <c r="D22" s="16">
        <f>$E32</f>
        <v>5.1495675000000007</v>
      </c>
      <c r="E22" s="16">
        <f>$E33</f>
        <v>5.1495675000000007</v>
      </c>
      <c r="F22" s="16">
        <f>$E34</f>
        <v>5.1495675000000007</v>
      </c>
      <c r="G22" s="16">
        <f>$E35</f>
        <v>5.1495675000000007</v>
      </c>
      <c r="H22" s="16">
        <f>$E36</f>
        <v>5.1495675000000007</v>
      </c>
      <c r="I22" s="16">
        <f>$E37</f>
        <v>5.1495675000000007</v>
      </c>
      <c r="J22" s="16">
        <f>$E38</f>
        <v>5.1495675000000007</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-170.85043250000001</v>
      </c>
      <c r="D23" s="16">
        <f t="shared" ref="D23:V23" si="3">D22-D21</f>
        <v>-222.85043250000001</v>
      </c>
      <c r="E23" s="16">
        <f t="shared" si="3"/>
        <v>-222.85043250000001</v>
      </c>
      <c r="F23" s="16">
        <f t="shared" si="3"/>
        <v>-222.85043250000001</v>
      </c>
      <c r="G23" s="16">
        <f t="shared" si="3"/>
        <v>-170.85043250000001</v>
      </c>
      <c r="H23" s="16">
        <f t="shared" si="3"/>
        <v>-38.850432499999997</v>
      </c>
      <c r="I23" s="16">
        <f t="shared" si="3"/>
        <v>-38.850432499999997</v>
      </c>
      <c r="J23" s="16">
        <f t="shared" si="3"/>
        <v>-38.850432499999997</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12.7</v>
      </c>
      <c r="C28" s="15">
        <v>0.45</v>
      </c>
      <c r="D28" s="15">
        <v>266</v>
      </c>
      <c r="E28" s="15">
        <v>77.7</v>
      </c>
      <c r="F28" s="15">
        <v>366</v>
      </c>
      <c r="G28" s="15">
        <v>1.98</v>
      </c>
      <c r="H28" s="15">
        <v>8.23</v>
      </c>
      <c r="I28" s="15">
        <v>0.5</v>
      </c>
      <c r="J28" s="15">
        <v>1.4999999999999999E-2</v>
      </c>
      <c r="K28" s="23">
        <v>0.05</v>
      </c>
      <c r="L28" s="15">
        <v>0.30299999999999999</v>
      </c>
      <c r="M28" s="15">
        <v>0.67</v>
      </c>
      <c r="N28" s="15"/>
      <c r="O28" s="15"/>
      <c r="P28" s="15">
        <v>625</v>
      </c>
      <c r="Q28" s="15">
        <v>406</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55</v>
      </c>
      <c r="C31" s="77">
        <f>IF(C$27="%w/w SAR",((C$28*10)*$B31),IF(C$27="%w/w DM",(((C$28*10)*($B$28/100))*$B31),IF(C$27="kg/t SAR",(C$28*$B31),IF(C$27="kg/t DM",((C$28*($B$28/100))*$B31),IF(C$27="mg/kg SAR",((C$28*0.001)*$B31),IF(C$27="mg/kg DM",(((C$28*0.001)*($B$28/100))*$B31),0))))))</f>
        <v>247.5</v>
      </c>
      <c r="D31" s="77">
        <f>(IF(D$27="%w/w SAR",((D$28*10)*$B31),IF(D$27="%w/w DM",(((D$28*10)*($B$28/100))*$B31),IF(D$27="kg/t SAR",(D$28*$B31),IF(D$27="kg/t DM",((D$28*($B$28/100))*$B31),IF(D$27="mg/kg SAR",((D$28*0.001)*$B31),IF(D$27="mg/kg DM",(((D$28*0.001)*($B$28/100))*$B31),"0")))))))*2.291</f>
        <v>33.517330000000001</v>
      </c>
      <c r="E31" s="77">
        <f>(IF(E$27="%w/w SAR",((E$28*10)*$B31),IF(E$27="%w/w DM",(((E$28*10)*($B$28/100))*$B31),IF(E$27="kg/t SAR",(E$28*$B31),IF(E$27="kg/t DM",((E$28*($B$28/100))*$B31),IF(E$27="mg/kg SAR",((E$28*0.001)*$B31),IF(E$27="mg/kg DM",(((E$28*0.001)*($B$28/100))*$B31),"0")))))))*1.205</f>
        <v>5.1495675000000007</v>
      </c>
      <c r="F31" s="77">
        <f>(IF(F$27="%w/w SAR",((F$28*10)*$B31),IF(F$27="%w/w DM",(((F$28*10)*($B$28/100))*$B31),IF(F$27="kg/t SAR",(F$28*$B31),IF(F$27="kg/t DM",((F$28*($B$28/100))*$B31),IF(F$27="mg/kg SAR",((F$28*0.001)*$B31),IF(F$27="mg/kg DM",(((F$28*0.001)*($B$28/100))*$B31),"0")))))))*1.658</f>
        <v>33.375539999999994</v>
      </c>
      <c r="G31" s="77">
        <f t="shared" ref="G31:P46" si="5">IF(G$27="%w/w SAR",((G$28*10)*$B31),IF(G$27="%w/w DM",(((G$28*10)*($B$28/100))*$B31),IF(G$27="kg/t SAR",(G$28*$B31),IF(G$27="kg/t DM",((G$28*($B$28/100))*$B31),IF(G$27="mg/kg SAR",((G$28*0.001)*$B31),IF(G$27="mg/kg DM",(((G$28*0.001)*($B$28/100))*$B31),0))))))</f>
        <v>0.1089</v>
      </c>
      <c r="H31" s="77">
        <f t="shared" si="5"/>
        <v>0.45265000000000005</v>
      </c>
      <c r="I31" s="77">
        <f t="shared" si="5"/>
        <v>2.75E-2</v>
      </c>
      <c r="J31" s="77">
        <f t="shared" si="5"/>
        <v>8.25E-4</v>
      </c>
      <c r="K31" s="77">
        <f t="shared" si="5"/>
        <v>2.7500000000000003E-3</v>
      </c>
      <c r="L31" s="77">
        <f t="shared" si="5"/>
        <v>1.6664999999999999E-2</v>
      </c>
      <c r="M31" s="77">
        <f t="shared" si="5"/>
        <v>3.6850000000000001E-2</v>
      </c>
      <c r="N31" s="77">
        <f t="shared" si="5"/>
        <v>0</v>
      </c>
      <c r="O31" s="77">
        <f t="shared" si="5"/>
        <v>0</v>
      </c>
      <c r="P31" s="77">
        <f t="shared" si="5"/>
        <v>34.375</v>
      </c>
      <c r="Q31" s="77">
        <f>(IF(Q$27="%w/w SAR",((Q$28*10)*$B31),IF(Q$27="%w/w DM",(((Q$28*10)*($B$28/100))*$B31),IF(Q$27="kg/t SAR",(Q$28*$B31),IF(Q$27="kg/t DM",((Q$28*($B$28/100))*$B31),IF(Q$27="mg/kg SAR",((Q$28*0.001)*$B31),IF(Q$27="mg/kg DM",(((Q$28*0.001)*($B$28/100))*$B31),0)))))))*2.5</f>
        <v>55.825000000000003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55</v>
      </c>
      <c r="C32" s="77">
        <f t="shared" ref="C32:C50" si="6">IF(C$27="%w/w SAR",((C$28*10)*$B32),IF(C$27="%w/w DM",(((C$28*10)*($B$28/100))*$B32),IF(C$27="kg/t SAR",(C$28*$B32),IF(C$27="kg/t DM",((C$28*($B$28/100))*$B32),IF(C$27="mg/kg SAR",((C$28*0.001)*$B32),IF(C$27="mg/kg DM",(((C$28*0.001)*($B$28/100))*$B32),0))))))</f>
        <v>247.5</v>
      </c>
      <c r="D32" s="77">
        <f t="shared" ref="D32:D50" si="7">(IF(D$27="%w/w SAR",((D$28*10)*$B32),IF(D$27="%w/w DM",(((D$28*10)*($B$28/100))*$B32),IF(D$27="kg/t SAR",(D$28*$B32),IF(D$27="kg/t DM",((D$28*($B$28/100))*$B32),IF(D$27="mg/kg SAR",((D$28*0.001)*$B32),IF(D$27="mg/kg DM",(((D$28*0.001)*($B$28/100))*$B32),"0")))))))*2.291</f>
        <v>33.517330000000001</v>
      </c>
      <c r="E32" s="77">
        <f t="shared" ref="E32:E50" si="8">(IF(E$27="%w/w SAR",((E$28*10)*$B32),IF(E$27="%w/w DM",(((E$28*10)*($B$28/100))*$B32),IF(E$27="kg/t SAR",(E$28*$B32),IF(E$27="kg/t DM",((E$28*($B$28/100))*$B32),IF(E$27="mg/kg SAR",((E$28*0.001)*$B32),IF(E$27="mg/kg DM",(((E$28*0.001)*($B$28/100))*$B32),"0")))))))*1.205</f>
        <v>5.1495675000000007</v>
      </c>
      <c r="F32" s="77">
        <f t="shared" ref="F32:F50" si="9">(IF(F$27="%w/w SAR",((F$28*10)*$B32),IF(F$27="%w/w DM",(((F$28*10)*($B$28/100))*$B32),IF(F$27="kg/t SAR",(F$28*$B32),IF(F$27="kg/t DM",((F$28*($B$28/100))*$B32),IF(F$27="mg/kg SAR",((F$28*0.001)*$B32),IF(F$27="mg/kg DM",(((F$28*0.001)*($B$28/100))*$B32),"0")))))))*1.658</f>
        <v>33.375539999999994</v>
      </c>
      <c r="G32" s="77">
        <f t="shared" si="5"/>
        <v>0.1089</v>
      </c>
      <c r="H32" s="77">
        <f t="shared" si="5"/>
        <v>0.45265000000000005</v>
      </c>
      <c r="I32" s="77">
        <f t="shared" si="5"/>
        <v>2.75E-2</v>
      </c>
      <c r="J32" s="77">
        <f t="shared" si="5"/>
        <v>8.25E-4</v>
      </c>
      <c r="K32" s="77">
        <f t="shared" si="5"/>
        <v>2.7500000000000003E-3</v>
      </c>
      <c r="L32" s="77">
        <f t="shared" si="5"/>
        <v>1.6664999999999999E-2</v>
      </c>
      <c r="M32" s="77">
        <f t="shared" si="5"/>
        <v>3.6850000000000001E-2</v>
      </c>
      <c r="N32" s="77">
        <f t="shared" si="5"/>
        <v>0</v>
      </c>
      <c r="O32" s="77">
        <f t="shared" si="5"/>
        <v>0</v>
      </c>
      <c r="P32" s="77">
        <f t="shared" si="5"/>
        <v>34.375</v>
      </c>
      <c r="Q32" s="77">
        <f t="shared" ref="Q32:Q50" si="10">(IF(Q$27="%w/w SAR",((Q$28*10)*$B32),IF(Q$27="%w/w DM",(((Q$28*10)*($B$28/100))*$B32),IF(Q$27="kg/t SAR",(Q$28*$B32),IF(Q$27="kg/t DM",((Q$28*($B$28/100))*$B32),IF(Q$27="mg/kg SAR",((Q$28*0.001)*$B32),IF(Q$27="mg/kg DM",(((Q$28*0.001)*($B$28/100))*$B32),0)))))))*2.5</f>
        <v>55.825000000000003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55</v>
      </c>
      <c r="C33" s="77">
        <f t="shared" si="6"/>
        <v>247.5</v>
      </c>
      <c r="D33" s="77">
        <f t="shared" si="7"/>
        <v>33.517330000000001</v>
      </c>
      <c r="E33" s="77">
        <f t="shared" si="8"/>
        <v>5.1495675000000007</v>
      </c>
      <c r="F33" s="77">
        <f t="shared" si="9"/>
        <v>33.375539999999994</v>
      </c>
      <c r="G33" s="77">
        <f t="shared" si="5"/>
        <v>0.1089</v>
      </c>
      <c r="H33" s="77">
        <f t="shared" si="5"/>
        <v>0.45265000000000005</v>
      </c>
      <c r="I33" s="77">
        <f t="shared" si="5"/>
        <v>2.75E-2</v>
      </c>
      <c r="J33" s="77">
        <f t="shared" si="5"/>
        <v>8.25E-4</v>
      </c>
      <c r="K33" s="77">
        <f t="shared" si="5"/>
        <v>2.7500000000000003E-3</v>
      </c>
      <c r="L33" s="77">
        <f t="shared" si="5"/>
        <v>1.6664999999999999E-2</v>
      </c>
      <c r="M33" s="77">
        <f t="shared" si="5"/>
        <v>3.6850000000000001E-2</v>
      </c>
      <c r="N33" s="77">
        <f t="shared" si="5"/>
        <v>0</v>
      </c>
      <c r="O33" s="77">
        <f t="shared" si="5"/>
        <v>0</v>
      </c>
      <c r="P33" s="77">
        <f t="shared" si="5"/>
        <v>34.375</v>
      </c>
      <c r="Q33" s="77">
        <f t="shared" si="10"/>
        <v>55.825000000000003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55</v>
      </c>
      <c r="C34" s="77">
        <f t="shared" si="6"/>
        <v>247.5</v>
      </c>
      <c r="D34" s="77">
        <f t="shared" si="7"/>
        <v>33.517330000000001</v>
      </c>
      <c r="E34" s="77">
        <f t="shared" si="8"/>
        <v>5.1495675000000007</v>
      </c>
      <c r="F34" s="77">
        <f t="shared" si="9"/>
        <v>33.375539999999994</v>
      </c>
      <c r="G34" s="77">
        <f t="shared" si="5"/>
        <v>0.1089</v>
      </c>
      <c r="H34" s="77">
        <f t="shared" si="5"/>
        <v>0.45265000000000005</v>
      </c>
      <c r="I34" s="77">
        <f t="shared" si="5"/>
        <v>2.75E-2</v>
      </c>
      <c r="J34" s="77">
        <f t="shared" si="5"/>
        <v>8.25E-4</v>
      </c>
      <c r="K34" s="77">
        <f t="shared" si="5"/>
        <v>2.7500000000000003E-3</v>
      </c>
      <c r="L34" s="77">
        <f t="shared" si="5"/>
        <v>1.6664999999999999E-2</v>
      </c>
      <c r="M34" s="77">
        <f t="shared" si="5"/>
        <v>3.6850000000000001E-2</v>
      </c>
      <c r="N34" s="77">
        <f t="shared" si="5"/>
        <v>0</v>
      </c>
      <c r="O34" s="77">
        <f t="shared" si="5"/>
        <v>0</v>
      </c>
      <c r="P34" s="77">
        <f t="shared" si="5"/>
        <v>34.375</v>
      </c>
      <c r="Q34" s="77">
        <f t="shared" si="10"/>
        <v>55.825000000000003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55</v>
      </c>
      <c r="C35" s="77">
        <f t="shared" si="6"/>
        <v>247.5</v>
      </c>
      <c r="D35" s="77">
        <f t="shared" si="7"/>
        <v>33.517330000000001</v>
      </c>
      <c r="E35" s="77">
        <f t="shared" si="8"/>
        <v>5.1495675000000007</v>
      </c>
      <c r="F35" s="77">
        <f t="shared" si="9"/>
        <v>33.375539999999994</v>
      </c>
      <c r="G35" s="77">
        <f t="shared" si="5"/>
        <v>0.1089</v>
      </c>
      <c r="H35" s="77">
        <f t="shared" si="5"/>
        <v>0.45265000000000005</v>
      </c>
      <c r="I35" s="77">
        <f t="shared" si="5"/>
        <v>2.75E-2</v>
      </c>
      <c r="J35" s="77">
        <f t="shared" si="5"/>
        <v>8.25E-4</v>
      </c>
      <c r="K35" s="77">
        <f t="shared" si="5"/>
        <v>2.7500000000000003E-3</v>
      </c>
      <c r="L35" s="77">
        <f t="shared" si="5"/>
        <v>1.6664999999999999E-2</v>
      </c>
      <c r="M35" s="77">
        <f t="shared" si="5"/>
        <v>3.6850000000000001E-2</v>
      </c>
      <c r="N35" s="77">
        <f t="shared" si="5"/>
        <v>0</v>
      </c>
      <c r="O35" s="77">
        <f t="shared" si="5"/>
        <v>0</v>
      </c>
      <c r="P35" s="77">
        <f t="shared" si="5"/>
        <v>34.375</v>
      </c>
      <c r="Q35" s="77">
        <f t="shared" si="10"/>
        <v>55.825000000000003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55</v>
      </c>
      <c r="C36" s="77">
        <f t="shared" si="6"/>
        <v>247.5</v>
      </c>
      <c r="D36" s="77">
        <f t="shared" si="7"/>
        <v>33.517330000000001</v>
      </c>
      <c r="E36" s="77">
        <f t="shared" si="8"/>
        <v>5.1495675000000007</v>
      </c>
      <c r="F36" s="77">
        <f t="shared" si="9"/>
        <v>33.375539999999994</v>
      </c>
      <c r="G36" s="77">
        <f t="shared" si="5"/>
        <v>0.1089</v>
      </c>
      <c r="H36" s="77">
        <f t="shared" si="5"/>
        <v>0.45265000000000005</v>
      </c>
      <c r="I36" s="77">
        <f t="shared" si="5"/>
        <v>2.75E-2</v>
      </c>
      <c r="J36" s="77">
        <f t="shared" si="5"/>
        <v>8.25E-4</v>
      </c>
      <c r="K36" s="77">
        <f t="shared" si="5"/>
        <v>2.7500000000000003E-3</v>
      </c>
      <c r="L36" s="77">
        <f t="shared" si="5"/>
        <v>1.6664999999999999E-2</v>
      </c>
      <c r="M36" s="77">
        <f t="shared" si="5"/>
        <v>3.6850000000000001E-2</v>
      </c>
      <c r="N36" s="77">
        <f t="shared" si="5"/>
        <v>0</v>
      </c>
      <c r="O36" s="77">
        <f t="shared" si="5"/>
        <v>0</v>
      </c>
      <c r="P36" s="77">
        <f t="shared" si="5"/>
        <v>34.375</v>
      </c>
      <c r="Q36" s="77">
        <f t="shared" si="10"/>
        <v>55.825000000000003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55</v>
      </c>
      <c r="C37" s="77">
        <f t="shared" si="6"/>
        <v>247.5</v>
      </c>
      <c r="D37" s="77">
        <f t="shared" si="7"/>
        <v>33.517330000000001</v>
      </c>
      <c r="E37" s="77">
        <f t="shared" si="8"/>
        <v>5.1495675000000007</v>
      </c>
      <c r="F37" s="77">
        <f t="shared" si="9"/>
        <v>33.375539999999994</v>
      </c>
      <c r="G37" s="77">
        <f t="shared" si="5"/>
        <v>0.1089</v>
      </c>
      <c r="H37" s="77">
        <f t="shared" si="5"/>
        <v>0.45265000000000005</v>
      </c>
      <c r="I37" s="77">
        <f t="shared" si="5"/>
        <v>2.75E-2</v>
      </c>
      <c r="J37" s="77">
        <f t="shared" si="5"/>
        <v>8.25E-4</v>
      </c>
      <c r="K37" s="77">
        <f t="shared" si="5"/>
        <v>2.7500000000000003E-3</v>
      </c>
      <c r="L37" s="77">
        <f t="shared" si="5"/>
        <v>1.6664999999999999E-2</v>
      </c>
      <c r="M37" s="77">
        <f t="shared" si="5"/>
        <v>3.6850000000000001E-2</v>
      </c>
      <c r="N37" s="77">
        <f t="shared" si="5"/>
        <v>0</v>
      </c>
      <c r="O37" s="77">
        <f t="shared" si="5"/>
        <v>0</v>
      </c>
      <c r="P37" s="77">
        <f t="shared" si="5"/>
        <v>34.375</v>
      </c>
      <c r="Q37" s="77">
        <f t="shared" si="10"/>
        <v>55.825000000000003</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55</v>
      </c>
      <c r="C38" s="77">
        <f t="shared" si="6"/>
        <v>247.5</v>
      </c>
      <c r="D38" s="77">
        <f t="shared" si="7"/>
        <v>33.517330000000001</v>
      </c>
      <c r="E38" s="77">
        <f t="shared" si="8"/>
        <v>5.1495675000000007</v>
      </c>
      <c r="F38" s="77">
        <f t="shared" si="9"/>
        <v>33.375539999999994</v>
      </c>
      <c r="G38" s="77">
        <f t="shared" si="5"/>
        <v>0.1089</v>
      </c>
      <c r="H38" s="77">
        <f t="shared" si="5"/>
        <v>0.45265000000000005</v>
      </c>
      <c r="I38" s="77">
        <f t="shared" si="5"/>
        <v>2.75E-2</v>
      </c>
      <c r="J38" s="77">
        <f t="shared" si="5"/>
        <v>8.25E-4</v>
      </c>
      <c r="K38" s="77">
        <f t="shared" si="5"/>
        <v>2.7500000000000003E-3</v>
      </c>
      <c r="L38" s="77">
        <f t="shared" si="5"/>
        <v>1.6664999999999999E-2</v>
      </c>
      <c r="M38" s="77">
        <f t="shared" si="5"/>
        <v>3.6850000000000001E-2</v>
      </c>
      <c r="N38" s="77">
        <f t="shared" si="5"/>
        <v>0</v>
      </c>
      <c r="O38" s="77">
        <f t="shared" si="5"/>
        <v>0</v>
      </c>
      <c r="P38" s="77">
        <f t="shared" si="5"/>
        <v>34.375</v>
      </c>
      <c r="Q38" s="77">
        <f t="shared" si="10"/>
        <v>55.825000000000003</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Sandy Loam I Arable</v>
      </c>
      <c r="C58" s="13" t="str">
        <f>D16&amp;" I "&amp;(VLOOKUP(D14,Table245811[],6,FALSE))</f>
        <v>Sandy Loam I Grass</v>
      </c>
      <c r="D58" s="13" t="str">
        <f>E16&amp;" I "&amp;(VLOOKUP(E14,Table245811[],6,FALSE))</f>
        <v>Sandy Loam I Grass</v>
      </c>
      <c r="E58" s="13" t="str">
        <f>F16&amp;" I "&amp;(VLOOKUP(F14,Table245811[],6,FALSE))</f>
        <v>Sandy Loam I Grass</v>
      </c>
      <c r="F58" s="13" t="str">
        <f>G16&amp;" I "&amp;(VLOOKUP(G14,Table245811[],6,FALSE))</f>
        <v>Sandy Loam I Arable</v>
      </c>
      <c r="G58" s="13" t="str">
        <f>H16&amp;" I "&amp;(VLOOKUP(H14,Table245811[],6,FALSE))</f>
        <v>Sandy Loam I Arable</v>
      </c>
      <c r="H58" s="13" t="str">
        <f>I16&amp;" I "&amp;(VLOOKUP(I14,Table245811[],6,FALSE))</f>
        <v>Sandy Loam I Arable</v>
      </c>
      <c r="I58" s="13" t="str">
        <f>J16&amp;" I "&amp;(VLOOKUP(J14,Table245811[],6,FALSE))</f>
        <v>Sandy Loam I Arable</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6.2</v>
      </c>
      <c r="D59" s="76">
        <f>VLOOKUP(E$14,Table245811[],5,FALSE)</f>
        <v>6.2</v>
      </c>
      <c r="E59" s="76">
        <f>VLOOKUP(F$14,Table245811[],5,FALSE)</f>
        <v>6.2</v>
      </c>
      <c r="F59" s="76">
        <f>VLOOKUP(G$14,Table245811[],5,FALSE)</f>
        <v>6.7</v>
      </c>
      <c r="G59" s="76">
        <f>VLOOKUP(H$14,Table245811[],5,FALSE)</f>
        <v>6.7</v>
      </c>
      <c r="H59" s="76">
        <f>VLOOKUP(I$14,Table245811[],5,FALSE)</f>
        <v>6.7</v>
      </c>
      <c r="I59" s="76">
        <f>VLOOKUP(J$14,Table245811[],5,FALSE)</f>
        <v>6.7</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55</v>
      </c>
      <c r="C62" s="77">
        <f>B32</f>
        <v>55</v>
      </c>
      <c r="D62" s="77">
        <f>B33</f>
        <v>55</v>
      </c>
      <c r="E62" s="77">
        <f>B34</f>
        <v>55</v>
      </c>
      <c r="F62" s="77">
        <f>B35</f>
        <v>55</v>
      </c>
      <c r="G62" s="77">
        <f>B36</f>
        <v>55</v>
      </c>
      <c r="H62" s="77">
        <f>B37</f>
        <v>55</v>
      </c>
      <c r="I62" s="77">
        <f>B38</f>
        <v>55</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topLeftCell="A19" zoomScale="70" zoomScaleNormal="7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PAN-016059</v>
      </c>
      <c r="D1" s="143"/>
      <c r="E1" s="93" t="s">
        <v>45</v>
      </c>
      <c r="F1" s="39">
        <f>Beechdean!F1</f>
        <v>33</v>
      </c>
      <c r="G1" s="125" t="s">
        <v>43</v>
      </c>
      <c r="H1" s="126"/>
      <c r="I1" s="118">
        <v>11.1</v>
      </c>
      <c r="J1" s="129" t="s">
        <v>153</v>
      </c>
      <c r="K1" s="12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Beechdean!C2:D2</f>
        <v>KP3594VE</v>
      </c>
      <c r="D2" s="145"/>
      <c r="E2" s="93" t="s">
        <v>109</v>
      </c>
      <c r="F2" s="96" t="s">
        <v>179</v>
      </c>
      <c r="G2" s="127" t="s">
        <v>110</v>
      </c>
      <c r="H2" s="128"/>
      <c r="I2" s="118">
        <v>768</v>
      </c>
      <c r="J2" s="129" t="s">
        <v>158</v>
      </c>
      <c r="K2" s="129"/>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Beechdean!C3:D3</f>
        <v>Trade Effluent Services Limited</v>
      </c>
      <c r="D3" s="145"/>
      <c r="E3" s="93" t="s">
        <v>108</v>
      </c>
      <c r="F3" s="31" t="s">
        <v>78</v>
      </c>
      <c r="G3" s="129" t="s">
        <v>159</v>
      </c>
      <c r="H3" s="129"/>
      <c r="I3" s="118">
        <v>1453</v>
      </c>
      <c r="J3" s="125" t="s">
        <v>154</v>
      </c>
      <c r="K3" s="126"/>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Beechdean!C4:D4</f>
        <v>Gwysaney Home Farm, Denbigh Road, Mold, CH7 5HE</v>
      </c>
      <c r="D4" s="143"/>
      <c r="E4" s="94" t="s">
        <v>1</v>
      </c>
      <c r="F4" s="96" t="s">
        <v>169</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Beechdean!C5:D5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Beechdean!C8</f>
        <v>1</v>
      </c>
      <c r="D8" s="60">
        <f>Beechdean!D8</f>
        <v>2</v>
      </c>
      <c r="E8" s="60">
        <f>Beechdean!E8</f>
        <v>3</v>
      </c>
      <c r="F8" s="60">
        <f>Beechdean!F8</f>
        <v>4</v>
      </c>
      <c r="G8" s="60">
        <f>Beechdean!G8</f>
        <v>5</v>
      </c>
      <c r="H8" s="60">
        <f>Beechdean!H8</f>
        <v>6</v>
      </c>
      <c r="I8" s="60">
        <f>Beechdean!I8</f>
        <v>7</v>
      </c>
      <c r="J8" s="60">
        <f>Beechdean!J8</f>
        <v>8</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Beechdean!C9</f>
        <v>1</v>
      </c>
      <c r="D9" s="60" t="str">
        <f>Beechdean!D9</f>
        <v>Moderate</v>
      </c>
      <c r="E9" s="60" t="str">
        <f>Beechdean!E9</f>
        <v>Moderate</v>
      </c>
      <c r="F9" s="60" t="str">
        <f>Beechdean!F9</f>
        <v>Moderate</v>
      </c>
      <c r="G9" s="60">
        <f>Beechdean!G9</f>
        <v>1</v>
      </c>
      <c r="H9" s="60">
        <f>Beechdean!H9</f>
        <v>1</v>
      </c>
      <c r="I9" s="60">
        <f>Beechdean!I9</f>
        <v>1</v>
      </c>
      <c r="J9" s="60">
        <f>Beechdean!J9</f>
        <v>1</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Beechdean!C10</f>
        <v>6.7</v>
      </c>
      <c r="D10" s="60">
        <f>Beechdean!D10</f>
        <v>6.6</v>
      </c>
      <c r="E10" s="60">
        <f>Beechdean!E10</f>
        <v>6.9</v>
      </c>
      <c r="F10" s="60">
        <f>Beechdean!F10</f>
        <v>6.3</v>
      </c>
      <c r="G10" s="60">
        <f>Beechdean!G10</f>
        <v>6.5</v>
      </c>
      <c r="H10" s="60">
        <f>Beechdean!H10</f>
        <v>6.8</v>
      </c>
      <c r="I10" s="60">
        <f>Beechdean!I10</f>
        <v>6.6</v>
      </c>
      <c r="J10" s="60">
        <f>Beechdean!J10</f>
        <v>7.2</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Beechdean!C11</f>
        <v>1</v>
      </c>
      <c r="D11" s="60">
        <f>Beechdean!D11</f>
        <v>1</v>
      </c>
      <c r="E11" s="60">
        <f>Beechdean!E11</f>
        <v>1</v>
      </c>
      <c r="F11" s="60">
        <f>Beechdean!F11</f>
        <v>1</v>
      </c>
      <c r="G11" s="60">
        <f>Beechdean!G11</f>
        <v>1</v>
      </c>
      <c r="H11" s="60">
        <f>Beechdean!H11</f>
        <v>3</v>
      </c>
      <c r="I11" s="60">
        <f>Beechdean!I11</f>
        <v>3</v>
      </c>
      <c r="J11" s="60">
        <f>Beechdean!J11</f>
        <v>1</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Beechdean!C12</f>
        <v>1</v>
      </c>
      <c r="D12" s="60">
        <f>Beechdean!D12</f>
        <v>1</v>
      </c>
      <c r="E12" s="60">
        <f>Beechdean!E12</f>
        <v>1</v>
      </c>
      <c r="F12" s="60">
        <f>Beechdean!F12</f>
        <v>1</v>
      </c>
      <c r="G12" s="60">
        <f>Beechdean!G12</f>
        <v>1</v>
      </c>
      <c r="H12" s="60">
        <f>Beechdean!H12</f>
        <v>1</v>
      </c>
      <c r="I12" s="60">
        <f>Beechdean!I12</f>
        <v>1</v>
      </c>
      <c r="J12" s="60">
        <f>Beechdean!J12</f>
        <v>1</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Beechdean!C13</f>
        <v>1</v>
      </c>
      <c r="D13" s="60">
        <f>Beechdean!D13</f>
        <v>1</v>
      </c>
      <c r="E13" s="60">
        <f>Beechdean!E13</f>
        <v>1</v>
      </c>
      <c r="F13" s="60">
        <f>Beechdean!F13</f>
        <v>1</v>
      </c>
      <c r="G13" s="60">
        <f>Beechdean!G13</f>
        <v>1</v>
      </c>
      <c r="H13" s="60">
        <f>Beechdean!H13</f>
        <v>1</v>
      </c>
      <c r="I13" s="60">
        <f>Beechdean!I13</f>
        <v>1</v>
      </c>
      <c r="J13" s="60">
        <f>Beechdean!J13</f>
        <v>1</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Beechdean!C14</f>
        <v>Maize- Silage (30% DM)</v>
      </c>
      <c r="D14" s="102" t="str">
        <f>Beechdean!D14</f>
        <v xml:space="preserve">Grass Silage (25% DM) </v>
      </c>
      <c r="E14" s="102" t="str">
        <f>Beechdean!E14</f>
        <v xml:space="preserve">Grass Silage (25% DM) </v>
      </c>
      <c r="F14" s="102" t="str">
        <f>Beechdean!F14</f>
        <v xml:space="preserve">Grass Silage (25% DM) </v>
      </c>
      <c r="G14" s="102" t="str">
        <f>Beechdean!G14</f>
        <v>Maize- Silage (30% DM)</v>
      </c>
      <c r="H14" s="102" t="str">
        <f>Beechdean!H14</f>
        <v xml:space="preserve">Winter wheat- grain only </v>
      </c>
      <c r="I14" s="102" t="str">
        <f>Beechdean!I14</f>
        <v xml:space="preserve">Winter wheat- grain only </v>
      </c>
      <c r="J14" s="102" t="str">
        <f>Beechdean!J14</f>
        <v xml:space="preserve">Winter wheat- grain only </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7" t="s">
        <v>9</v>
      </c>
      <c r="B15" s="137"/>
      <c r="C15" s="60">
        <f>Beechdean!C15</f>
        <v>40</v>
      </c>
      <c r="D15" s="60">
        <f>Beechdean!D15</f>
        <v>38</v>
      </c>
      <c r="E15" s="60">
        <f>Beechdean!E15</f>
        <v>38</v>
      </c>
      <c r="F15" s="60">
        <f>Beechdean!F15</f>
        <v>38</v>
      </c>
      <c r="G15" s="60">
        <f>Beechdean!G15</f>
        <v>40</v>
      </c>
      <c r="H15" s="60">
        <f>Beechdean!H15</f>
        <v>8</v>
      </c>
      <c r="I15" s="60">
        <f>Beechdean!I15</f>
        <v>8</v>
      </c>
      <c r="J15" s="60">
        <f>Beechdean!J15</f>
        <v>8</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Beechdean!C16</f>
        <v>Sandy Loam</v>
      </c>
      <c r="D16" s="103" t="str">
        <f>Beechdean!D16</f>
        <v>Sandy Loam</v>
      </c>
      <c r="E16" s="103" t="str">
        <f>Beechdean!E16</f>
        <v>Sandy Loam</v>
      </c>
      <c r="F16" s="103" t="str">
        <f>Beechdean!F16</f>
        <v>Sandy Loam</v>
      </c>
      <c r="G16" s="103" t="str">
        <f>Beechdean!G16</f>
        <v>Sandy Loam</v>
      </c>
      <c r="H16" s="103" t="str">
        <f>Beechdean!H16</f>
        <v>Sandy Loam</v>
      </c>
      <c r="I16" s="103" t="str">
        <f>Beechdean!I16</f>
        <v>Sandy Loam</v>
      </c>
      <c r="J16" s="103" t="str">
        <f>Beechdean!J16</f>
        <v>Sandy Loam</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35.052300000000002</v>
      </c>
      <c r="D18" s="16">
        <f>$D32</f>
        <v>35.052300000000002</v>
      </c>
      <c r="E18" s="16">
        <f>$D33</f>
        <v>35.052300000000002</v>
      </c>
      <c r="F18" s="16">
        <f>$D34</f>
        <v>35.052300000000002</v>
      </c>
      <c r="G18" s="16">
        <f>$D35</f>
        <v>35.052300000000002</v>
      </c>
      <c r="H18" s="16">
        <f>$D36</f>
        <v>35.052300000000002</v>
      </c>
      <c r="I18" s="16">
        <f>$D37</f>
        <v>35.052300000000002</v>
      </c>
      <c r="J18" s="16">
        <f>$D38</f>
        <v>35.052300000000002</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-20.947699999999998</v>
      </c>
      <c r="D19" s="16">
        <f t="shared" ref="D19:V19" si="1">D18-D17</f>
        <v>-29.547699999999992</v>
      </c>
      <c r="E19" s="16">
        <f t="shared" si="1"/>
        <v>-29.547699999999992</v>
      </c>
      <c r="F19" s="16">
        <f t="shared" si="1"/>
        <v>-29.547699999999992</v>
      </c>
      <c r="G19" s="16">
        <f t="shared" si="1"/>
        <v>-20.947699999999998</v>
      </c>
      <c r="H19" s="16">
        <f t="shared" si="1"/>
        <v>-16.947699999999998</v>
      </c>
      <c r="I19" s="16">
        <f t="shared" si="1"/>
        <v>-16.947699999999998</v>
      </c>
      <c r="J19" s="16">
        <f t="shared" si="1"/>
        <v>-16.947699999999998</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17.382125000000002</v>
      </c>
      <c r="D22" s="16">
        <f>$E32</f>
        <v>17.382125000000002</v>
      </c>
      <c r="E22" s="16">
        <f>$E33</f>
        <v>17.382125000000002</v>
      </c>
      <c r="F22" s="16">
        <f>$E34</f>
        <v>17.382125000000002</v>
      </c>
      <c r="G22" s="16">
        <f>$E35</f>
        <v>17.382125000000002</v>
      </c>
      <c r="H22" s="16">
        <f>$E36</f>
        <v>17.382125000000002</v>
      </c>
      <c r="I22" s="16">
        <f>$E37</f>
        <v>17.382125000000002</v>
      </c>
      <c r="J22" s="16">
        <f>$E38</f>
        <v>17.382125000000002</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-158.617875</v>
      </c>
      <c r="D23" s="16">
        <f t="shared" ref="D23:V23" si="3">D22-D21</f>
        <v>-210.617875</v>
      </c>
      <c r="E23" s="16">
        <f t="shared" si="3"/>
        <v>-210.617875</v>
      </c>
      <c r="F23" s="16">
        <f t="shared" si="3"/>
        <v>-210.617875</v>
      </c>
      <c r="G23" s="16">
        <f t="shared" si="3"/>
        <v>-158.617875</v>
      </c>
      <c r="H23" s="16">
        <f t="shared" si="3"/>
        <v>-26.617874999999998</v>
      </c>
      <c r="I23" s="16">
        <f t="shared" si="3"/>
        <v>-26.617874999999998</v>
      </c>
      <c r="J23" s="16">
        <f t="shared" si="3"/>
        <v>-26.617874999999998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v>
      </c>
      <c r="C28" s="15">
        <v>0.06</v>
      </c>
      <c r="D28" s="15">
        <v>61.2</v>
      </c>
      <c r="E28" s="15">
        <v>57.7</v>
      </c>
      <c r="F28" s="15">
        <v>10</v>
      </c>
      <c r="G28" s="15">
        <v>5.48</v>
      </c>
      <c r="H28" s="15">
        <v>2.63</v>
      </c>
      <c r="I28" s="15">
        <v>1.91</v>
      </c>
      <c r="J28" s="15">
        <v>0.01</v>
      </c>
      <c r="K28" s="23">
        <v>0.05</v>
      </c>
      <c r="L28" s="15">
        <v>0.2</v>
      </c>
      <c r="M28" s="15">
        <v>0.2</v>
      </c>
      <c r="N28" s="15"/>
      <c r="O28" s="15"/>
      <c r="P28" s="15">
        <v>859</v>
      </c>
      <c r="Q28" s="15">
        <v>82.1</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150</v>
      </c>
      <c r="D31" s="77">
        <f>(IF(D$27="%w/w SAR",((D$28*10)*$B31),IF(D$27="%w/w DM",(((D$28*10)*($B$28/100))*$B31),IF(D$27="kg/t SAR",(D$28*$B31),IF(D$27="kg/t DM",((D$28*($B$28/100))*$B31),IF(D$27="mg/kg SAR",((D$28*0.001)*$B31),IF(D$27="mg/kg DM",(((D$28*0.001)*($B$28/100))*$B31),"0")))))))*2.291</f>
        <v>35.052300000000002</v>
      </c>
      <c r="E31" s="77">
        <f>(IF(E$27="%w/w SAR",((E$28*10)*$B31),IF(E$27="%w/w DM",(((E$28*10)*($B$28/100))*$B31),IF(E$27="kg/t SAR",(E$28*$B31),IF(E$27="kg/t DM",((E$28*($B$28/100))*$B31),IF(E$27="mg/kg SAR",((E$28*0.001)*$B31),IF(E$27="mg/kg DM",(((E$28*0.001)*($B$28/100))*$B31),"0")))))))*1.205</f>
        <v>17.382125000000002</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1.37</v>
      </c>
      <c r="H31" s="77">
        <f t="shared" si="5"/>
        <v>0.65749999999999997</v>
      </c>
      <c r="I31" s="77">
        <f t="shared" si="5"/>
        <v>0.47749999999999998</v>
      </c>
      <c r="J31" s="77">
        <f t="shared" si="5"/>
        <v>2.5000000000000001E-3</v>
      </c>
      <c r="K31" s="77">
        <f t="shared" si="5"/>
        <v>1.2500000000000001E-2</v>
      </c>
      <c r="L31" s="77">
        <f t="shared" si="5"/>
        <v>0.05</v>
      </c>
      <c r="M31" s="77">
        <f t="shared" si="5"/>
        <v>0.05</v>
      </c>
      <c r="N31" s="77">
        <f t="shared" si="5"/>
        <v>0</v>
      </c>
      <c r="O31" s="77">
        <f t="shared" si="5"/>
        <v>0</v>
      </c>
      <c r="P31" s="77">
        <f t="shared" si="5"/>
        <v>214.75</v>
      </c>
      <c r="Q31" s="77">
        <f>(IF(Q$27="%w/w SAR",((Q$28*10)*$B31),IF(Q$27="%w/w DM",(((Q$28*10)*($B$28/100))*$B31),IF(Q$27="kg/t SAR",(Q$28*$B31),IF(Q$27="kg/t DM",((Q$28*($B$28/100))*$B31),IF(Q$27="mg/kg SAR",((Q$28*0.001)*$B31),IF(Q$27="mg/kg DM",(((Q$28*0.001)*($B$28/100))*$B31),0)))))))*2.5</f>
        <v>51.3125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150</v>
      </c>
      <c r="D32" s="77">
        <f t="shared" ref="D32:D50" si="7">(IF(D$27="%w/w SAR",((D$28*10)*$B32),IF(D$27="%w/w DM",(((D$28*10)*($B$28/100))*$B32),IF(D$27="kg/t SAR",(D$28*$B32),IF(D$27="kg/t DM",((D$28*($B$28/100))*$B32),IF(D$27="mg/kg SAR",((D$28*0.001)*$B32),IF(D$27="mg/kg DM",(((D$28*0.001)*($B$28/100))*$B32),"0")))))))*2.291</f>
        <v>35.052300000000002</v>
      </c>
      <c r="E32" s="77">
        <f t="shared" ref="E32:E50" si="8">(IF(E$27="%w/w SAR",((E$28*10)*$B32),IF(E$27="%w/w DM",(((E$28*10)*($B$28/100))*$B32),IF(E$27="kg/t SAR",(E$28*$B32),IF(E$27="kg/t DM",((E$28*($B$28/100))*$B32),IF(E$27="mg/kg SAR",((E$28*0.001)*$B32),IF(E$27="mg/kg DM",(((E$28*0.001)*($B$28/100))*$B32),"0")))))))*1.205</f>
        <v>17.382125000000002</v>
      </c>
      <c r="F32" s="77">
        <f t="shared" ref="F32:F50" si="9">(IF(F$27="%w/w SAR",((F$28*10)*$B32),IF(F$27="%w/w DM",(((F$28*10)*($B$28/100))*$B32),IF(F$27="kg/t SAR",(F$28*$B32),IF(F$27="kg/t DM",((F$28*($B$28/100))*$B32),IF(F$27="mg/kg SAR",((F$28*0.001)*$B32),IF(F$27="mg/kg DM",(((F$28*0.001)*($B$28/100))*$B32),"0")))))))*1.658</f>
        <v>4.1449999999999996</v>
      </c>
      <c r="G32" s="77">
        <f t="shared" si="5"/>
        <v>1.37</v>
      </c>
      <c r="H32" s="77">
        <f t="shared" si="5"/>
        <v>0.65749999999999997</v>
      </c>
      <c r="I32" s="77">
        <f t="shared" si="5"/>
        <v>0.47749999999999998</v>
      </c>
      <c r="J32" s="77">
        <f t="shared" si="5"/>
        <v>2.5000000000000001E-3</v>
      </c>
      <c r="K32" s="77">
        <f t="shared" si="5"/>
        <v>1.2500000000000001E-2</v>
      </c>
      <c r="L32" s="77">
        <f t="shared" si="5"/>
        <v>0.05</v>
      </c>
      <c r="M32" s="77">
        <f t="shared" si="5"/>
        <v>0.05</v>
      </c>
      <c r="N32" s="77">
        <f t="shared" si="5"/>
        <v>0</v>
      </c>
      <c r="O32" s="77">
        <f t="shared" si="5"/>
        <v>0</v>
      </c>
      <c r="P32" s="77">
        <f t="shared" si="5"/>
        <v>214.75</v>
      </c>
      <c r="Q32" s="77">
        <f t="shared" ref="Q32:Q50" si="10">(IF(Q$27="%w/w SAR",((Q$28*10)*$B32),IF(Q$27="%w/w DM",(((Q$28*10)*($B$28/100))*$B32),IF(Q$27="kg/t SAR",(Q$28*$B32),IF(Q$27="kg/t DM",((Q$28*($B$28/100))*$B32),IF(Q$27="mg/kg SAR",((Q$28*0.001)*$B32),IF(Q$27="mg/kg DM",(((Q$28*0.001)*($B$28/100))*$B32),0)))))))*2.5</f>
        <v>51.3125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150</v>
      </c>
      <c r="D33" s="77">
        <f t="shared" si="7"/>
        <v>35.052300000000002</v>
      </c>
      <c r="E33" s="77">
        <f t="shared" si="8"/>
        <v>17.382125000000002</v>
      </c>
      <c r="F33" s="77">
        <f t="shared" si="9"/>
        <v>4.1449999999999996</v>
      </c>
      <c r="G33" s="77">
        <f t="shared" si="5"/>
        <v>1.37</v>
      </c>
      <c r="H33" s="77">
        <f t="shared" si="5"/>
        <v>0.65749999999999997</v>
      </c>
      <c r="I33" s="77">
        <f t="shared" si="5"/>
        <v>0.47749999999999998</v>
      </c>
      <c r="J33" s="77">
        <f t="shared" si="5"/>
        <v>2.5000000000000001E-3</v>
      </c>
      <c r="K33" s="77">
        <f t="shared" si="5"/>
        <v>1.2500000000000001E-2</v>
      </c>
      <c r="L33" s="77">
        <f t="shared" si="5"/>
        <v>0.05</v>
      </c>
      <c r="M33" s="77">
        <f t="shared" si="5"/>
        <v>0.05</v>
      </c>
      <c r="N33" s="77">
        <f t="shared" si="5"/>
        <v>0</v>
      </c>
      <c r="O33" s="77">
        <f t="shared" si="5"/>
        <v>0</v>
      </c>
      <c r="P33" s="77">
        <f t="shared" si="5"/>
        <v>214.75</v>
      </c>
      <c r="Q33" s="77">
        <f t="shared" si="10"/>
        <v>51.3125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150</v>
      </c>
      <c r="D34" s="77">
        <f t="shared" si="7"/>
        <v>35.052300000000002</v>
      </c>
      <c r="E34" s="77">
        <f t="shared" si="8"/>
        <v>17.382125000000002</v>
      </c>
      <c r="F34" s="77">
        <f t="shared" si="9"/>
        <v>4.1449999999999996</v>
      </c>
      <c r="G34" s="77">
        <f t="shared" si="5"/>
        <v>1.37</v>
      </c>
      <c r="H34" s="77">
        <f t="shared" si="5"/>
        <v>0.65749999999999997</v>
      </c>
      <c r="I34" s="77">
        <f t="shared" si="5"/>
        <v>0.47749999999999998</v>
      </c>
      <c r="J34" s="77">
        <f t="shared" si="5"/>
        <v>2.5000000000000001E-3</v>
      </c>
      <c r="K34" s="77">
        <f t="shared" si="5"/>
        <v>1.2500000000000001E-2</v>
      </c>
      <c r="L34" s="77">
        <f t="shared" si="5"/>
        <v>0.05</v>
      </c>
      <c r="M34" s="77">
        <f t="shared" si="5"/>
        <v>0.05</v>
      </c>
      <c r="N34" s="77">
        <f t="shared" si="5"/>
        <v>0</v>
      </c>
      <c r="O34" s="77">
        <f t="shared" si="5"/>
        <v>0</v>
      </c>
      <c r="P34" s="77">
        <f t="shared" si="5"/>
        <v>214.75</v>
      </c>
      <c r="Q34" s="77">
        <f t="shared" si="10"/>
        <v>51.3125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150</v>
      </c>
      <c r="D35" s="77">
        <f t="shared" si="7"/>
        <v>35.052300000000002</v>
      </c>
      <c r="E35" s="77">
        <f t="shared" si="8"/>
        <v>17.382125000000002</v>
      </c>
      <c r="F35" s="77">
        <f t="shared" si="9"/>
        <v>4.1449999999999996</v>
      </c>
      <c r="G35" s="77">
        <f t="shared" si="5"/>
        <v>1.37</v>
      </c>
      <c r="H35" s="77">
        <f t="shared" si="5"/>
        <v>0.65749999999999997</v>
      </c>
      <c r="I35" s="77">
        <f t="shared" si="5"/>
        <v>0.47749999999999998</v>
      </c>
      <c r="J35" s="77">
        <f t="shared" si="5"/>
        <v>2.5000000000000001E-3</v>
      </c>
      <c r="K35" s="77">
        <f t="shared" si="5"/>
        <v>1.2500000000000001E-2</v>
      </c>
      <c r="L35" s="77">
        <f t="shared" si="5"/>
        <v>0.05</v>
      </c>
      <c r="M35" s="77">
        <f t="shared" si="5"/>
        <v>0.05</v>
      </c>
      <c r="N35" s="77">
        <f t="shared" si="5"/>
        <v>0</v>
      </c>
      <c r="O35" s="77">
        <f t="shared" si="5"/>
        <v>0</v>
      </c>
      <c r="P35" s="77">
        <f t="shared" si="5"/>
        <v>214.75</v>
      </c>
      <c r="Q35" s="77">
        <f t="shared" si="10"/>
        <v>51.3125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150</v>
      </c>
      <c r="D36" s="77">
        <f t="shared" si="7"/>
        <v>35.052300000000002</v>
      </c>
      <c r="E36" s="77">
        <f t="shared" si="8"/>
        <v>17.382125000000002</v>
      </c>
      <c r="F36" s="77">
        <f t="shared" si="9"/>
        <v>4.1449999999999996</v>
      </c>
      <c r="G36" s="77">
        <f t="shared" si="5"/>
        <v>1.37</v>
      </c>
      <c r="H36" s="77">
        <f t="shared" si="5"/>
        <v>0.65749999999999997</v>
      </c>
      <c r="I36" s="77">
        <f t="shared" si="5"/>
        <v>0.47749999999999998</v>
      </c>
      <c r="J36" s="77">
        <f t="shared" si="5"/>
        <v>2.5000000000000001E-3</v>
      </c>
      <c r="K36" s="77">
        <f t="shared" si="5"/>
        <v>1.2500000000000001E-2</v>
      </c>
      <c r="L36" s="77">
        <f t="shared" si="5"/>
        <v>0.05</v>
      </c>
      <c r="M36" s="77">
        <f t="shared" si="5"/>
        <v>0.05</v>
      </c>
      <c r="N36" s="77">
        <f t="shared" si="5"/>
        <v>0</v>
      </c>
      <c r="O36" s="77">
        <f t="shared" si="5"/>
        <v>0</v>
      </c>
      <c r="P36" s="77">
        <f t="shared" si="5"/>
        <v>214.75</v>
      </c>
      <c r="Q36" s="77">
        <f t="shared" si="10"/>
        <v>51.3125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250</v>
      </c>
      <c r="C37" s="77">
        <f t="shared" si="6"/>
        <v>150</v>
      </c>
      <c r="D37" s="77">
        <f t="shared" si="7"/>
        <v>35.052300000000002</v>
      </c>
      <c r="E37" s="77">
        <f t="shared" si="8"/>
        <v>17.382125000000002</v>
      </c>
      <c r="F37" s="77">
        <f t="shared" si="9"/>
        <v>4.1449999999999996</v>
      </c>
      <c r="G37" s="77">
        <f t="shared" si="5"/>
        <v>1.37</v>
      </c>
      <c r="H37" s="77">
        <f t="shared" si="5"/>
        <v>0.65749999999999997</v>
      </c>
      <c r="I37" s="77">
        <f t="shared" si="5"/>
        <v>0.47749999999999998</v>
      </c>
      <c r="J37" s="77">
        <f t="shared" si="5"/>
        <v>2.5000000000000001E-3</v>
      </c>
      <c r="K37" s="77">
        <f t="shared" si="5"/>
        <v>1.2500000000000001E-2</v>
      </c>
      <c r="L37" s="77">
        <f t="shared" si="5"/>
        <v>0.05</v>
      </c>
      <c r="M37" s="77">
        <f t="shared" si="5"/>
        <v>0.05</v>
      </c>
      <c r="N37" s="77">
        <f t="shared" si="5"/>
        <v>0</v>
      </c>
      <c r="O37" s="77">
        <f t="shared" si="5"/>
        <v>0</v>
      </c>
      <c r="P37" s="77">
        <f t="shared" si="5"/>
        <v>214.75</v>
      </c>
      <c r="Q37" s="77">
        <f t="shared" si="10"/>
        <v>51.3125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250</v>
      </c>
      <c r="C38" s="77">
        <f t="shared" si="6"/>
        <v>150</v>
      </c>
      <c r="D38" s="77">
        <f t="shared" si="7"/>
        <v>35.052300000000002</v>
      </c>
      <c r="E38" s="77">
        <f t="shared" si="8"/>
        <v>17.382125000000002</v>
      </c>
      <c r="F38" s="77">
        <f t="shared" si="9"/>
        <v>4.1449999999999996</v>
      </c>
      <c r="G38" s="77">
        <f t="shared" si="5"/>
        <v>1.37</v>
      </c>
      <c r="H38" s="77">
        <f t="shared" si="5"/>
        <v>0.65749999999999997</v>
      </c>
      <c r="I38" s="77">
        <f t="shared" si="5"/>
        <v>0.47749999999999998</v>
      </c>
      <c r="J38" s="77">
        <f t="shared" si="5"/>
        <v>2.5000000000000001E-3</v>
      </c>
      <c r="K38" s="77">
        <f t="shared" si="5"/>
        <v>1.2500000000000001E-2</v>
      </c>
      <c r="L38" s="77">
        <f t="shared" si="5"/>
        <v>0.05</v>
      </c>
      <c r="M38" s="77">
        <f t="shared" si="5"/>
        <v>0.05</v>
      </c>
      <c r="N38" s="77">
        <f t="shared" si="5"/>
        <v>0</v>
      </c>
      <c r="O38" s="77">
        <f t="shared" si="5"/>
        <v>0</v>
      </c>
      <c r="P38" s="77">
        <f t="shared" si="5"/>
        <v>214.75</v>
      </c>
      <c r="Q38" s="77">
        <f t="shared" si="10"/>
        <v>51.3125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Sandy Loam I Arable</v>
      </c>
      <c r="C58" s="13" t="str">
        <f>D16&amp;" I "&amp;(VLOOKUP(D14,Table24581112[],6,FALSE))</f>
        <v>Sandy Loam I Grass</v>
      </c>
      <c r="D58" s="13" t="str">
        <f>E16&amp;" I "&amp;(VLOOKUP(E14,Table24581112[],6,FALSE))</f>
        <v>Sandy Loam I Grass</v>
      </c>
      <c r="E58" s="13" t="str">
        <f>F16&amp;" I "&amp;(VLOOKUP(F14,Table24581112[],6,FALSE))</f>
        <v>Sandy Loam I Grass</v>
      </c>
      <c r="F58" s="13" t="str">
        <f>G16&amp;" I "&amp;(VLOOKUP(G14,Table24581112[],6,FALSE))</f>
        <v>Sandy Loam I Arable</v>
      </c>
      <c r="G58" s="13" t="str">
        <f>H16&amp;" I "&amp;(VLOOKUP(H14,Table24581112[],6,FALSE))</f>
        <v>Sandy Loam I Arable</v>
      </c>
      <c r="H58" s="13" t="str">
        <f>I16&amp;" I "&amp;(VLOOKUP(I14,Table24581112[],6,FALSE))</f>
        <v>Sandy Loam I Arable</v>
      </c>
      <c r="I58" s="13" t="str">
        <f>J16&amp;" I "&amp;(VLOOKUP(J14,Table24581112[],6,FALSE))</f>
        <v>Sandy Loam I Arable</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6.2</v>
      </c>
      <c r="D59" s="76">
        <f>VLOOKUP(E$14,Table24581112[],5,FALSE)</f>
        <v>6.2</v>
      </c>
      <c r="E59" s="76">
        <f>VLOOKUP(F$14,Table24581112[],5,FALSE)</f>
        <v>6.2</v>
      </c>
      <c r="F59" s="76">
        <f>VLOOKUP(G$14,Table24581112[],5,FALSE)</f>
        <v>6.7</v>
      </c>
      <c r="G59" s="76">
        <f>VLOOKUP(H$14,Table24581112[],5,FALSE)</f>
        <v>6.7</v>
      </c>
      <c r="H59" s="76">
        <f>VLOOKUP(I$14,Table24581112[],5,FALSE)</f>
        <v>6.7</v>
      </c>
      <c r="I59" s="76">
        <f>VLOOKUP(J$14,Table24581112[],5,FALSE)</f>
        <v>6.7</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6" zoomScale="70" zoomScaleNormal="70" workbookViewId="0">
      <selection activeCell="F5" sqref="F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9" t="s">
        <v>41</v>
      </c>
      <c r="B1" s="129"/>
      <c r="C1" s="142" t="str">
        <f>Beechdean!C1:D1</f>
        <v>PAN-016059</v>
      </c>
      <c r="D1" s="143"/>
      <c r="E1" s="93" t="s">
        <v>45</v>
      </c>
      <c r="F1" s="39">
        <f>Beechdean!F1</f>
        <v>33</v>
      </c>
      <c r="G1" s="125" t="s">
        <v>43</v>
      </c>
      <c r="H1" s="126"/>
      <c r="I1" s="118">
        <v>6.96</v>
      </c>
      <c r="J1" s="129" t="s">
        <v>153</v>
      </c>
      <c r="K1" s="129"/>
      <c r="L1" s="97">
        <v>5746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Beechdean!C2:D2</f>
        <v>KP3594VE</v>
      </c>
      <c r="D2" s="145"/>
      <c r="E2" s="93" t="s">
        <v>109</v>
      </c>
      <c r="F2" s="96" t="s">
        <v>180</v>
      </c>
      <c r="G2" s="127" t="s">
        <v>110</v>
      </c>
      <c r="H2" s="128"/>
      <c r="I2" s="118">
        <v>887</v>
      </c>
      <c r="J2" s="129" t="s">
        <v>158</v>
      </c>
      <c r="K2" s="129"/>
      <c r="L2" s="97">
        <v>7.42</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Beechdean!C3:D3</f>
        <v>Trade Effluent Services Limited</v>
      </c>
      <c r="D3" s="145"/>
      <c r="E3" s="93" t="s">
        <v>108</v>
      </c>
      <c r="F3" s="31" t="s">
        <v>104</v>
      </c>
      <c r="G3" s="129" t="s">
        <v>159</v>
      </c>
      <c r="H3" s="129"/>
      <c r="I3" s="118"/>
      <c r="J3" s="125" t="s">
        <v>154</v>
      </c>
      <c r="K3" s="126"/>
      <c r="L3" s="97">
        <f>(L1/(L2*10000))*100</f>
        <v>7.7439353099730459</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Beechdean!C4:D4</f>
        <v>Gwysaney Home Farm, Denbigh Road, Mold, CH7 5HE</v>
      </c>
      <c r="D4" s="143"/>
      <c r="E4" s="94" t="s">
        <v>1</v>
      </c>
      <c r="F4" s="96" t="s">
        <v>170</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Beechdean!C5:D5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Beechdean!C8</f>
        <v>1</v>
      </c>
      <c r="D8" s="60">
        <f>Beechdean!D8</f>
        <v>2</v>
      </c>
      <c r="E8" s="60">
        <f>Beechdean!E8</f>
        <v>3</v>
      </c>
      <c r="F8" s="60">
        <f>Beechdean!F8</f>
        <v>4</v>
      </c>
      <c r="G8" s="60">
        <f>Beechdean!G8</f>
        <v>5</v>
      </c>
      <c r="H8" s="60">
        <f>Beechdean!H8</f>
        <v>6</v>
      </c>
      <c r="I8" s="60">
        <f>Beechdean!I8</f>
        <v>7</v>
      </c>
      <c r="J8" s="60">
        <f>Beechdean!J8</f>
        <v>8</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Beechdean!C9</f>
        <v>1</v>
      </c>
      <c r="D9" s="60" t="str">
        <f>Beechdean!D9</f>
        <v>Moderate</v>
      </c>
      <c r="E9" s="60" t="str">
        <f>Beechdean!E9</f>
        <v>Moderate</v>
      </c>
      <c r="F9" s="60" t="str">
        <f>Beechdean!F9</f>
        <v>Moderate</v>
      </c>
      <c r="G9" s="60">
        <f>Beechdean!G9</f>
        <v>1</v>
      </c>
      <c r="H9" s="60">
        <f>Beechdean!H9</f>
        <v>1</v>
      </c>
      <c r="I9" s="60">
        <f>Beechdean!I9</f>
        <v>1</v>
      </c>
      <c r="J9" s="60">
        <f>Beechdean!J9</f>
        <v>1</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Beechdean!C10</f>
        <v>6.7</v>
      </c>
      <c r="D10" s="60">
        <f>Beechdean!D10</f>
        <v>6.6</v>
      </c>
      <c r="E10" s="60">
        <f>Beechdean!E10</f>
        <v>6.9</v>
      </c>
      <c r="F10" s="60">
        <f>Beechdean!F10</f>
        <v>6.3</v>
      </c>
      <c r="G10" s="60">
        <f>Beechdean!G10</f>
        <v>6.5</v>
      </c>
      <c r="H10" s="60">
        <f>Beechdean!H10</f>
        <v>6.8</v>
      </c>
      <c r="I10" s="60">
        <f>Beechdean!I10</f>
        <v>6.6</v>
      </c>
      <c r="J10" s="60">
        <f>Beechdean!J10</f>
        <v>7.2</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Beechdean!C11</f>
        <v>1</v>
      </c>
      <c r="D11" s="60">
        <f>Beechdean!D11</f>
        <v>1</v>
      </c>
      <c r="E11" s="60">
        <f>Beechdean!E11</f>
        <v>1</v>
      </c>
      <c r="F11" s="60">
        <f>Beechdean!F11</f>
        <v>1</v>
      </c>
      <c r="G11" s="60">
        <f>Beechdean!G11</f>
        <v>1</v>
      </c>
      <c r="H11" s="60">
        <f>Beechdean!H11</f>
        <v>3</v>
      </c>
      <c r="I11" s="60">
        <f>Beechdean!I11</f>
        <v>3</v>
      </c>
      <c r="J11" s="60">
        <f>Beechdean!J11</f>
        <v>1</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Beechdean!C12</f>
        <v>1</v>
      </c>
      <c r="D12" s="60">
        <f>Beechdean!D12</f>
        <v>1</v>
      </c>
      <c r="E12" s="60">
        <f>Beechdean!E12</f>
        <v>1</v>
      </c>
      <c r="F12" s="60">
        <f>Beechdean!F12</f>
        <v>1</v>
      </c>
      <c r="G12" s="60">
        <f>Beechdean!G12</f>
        <v>1</v>
      </c>
      <c r="H12" s="60">
        <f>Beechdean!H12</f>
        <v>1</v>
      </c>
      <c r="I12" s="60">
        <f>Beechdean!I12</f>
        <v>1</v>
      </c>
      <c r="J12" s="60">
        <f>Beechdean!J12</f>
        <v>1</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Beechdean!C13</f>
        <v>1</v>
      </c>
      <c r="D13" s="60">
        <f>Beechdean!D13</f>
        <v>1</v>
      </c>
      <c r="E13" s="60">
        <f>Beechdean!E13</f>
        <v>1</v>
      </c>
      <c r="F13" s="60">
        <f>Beechdean!F13</f>
        <v>1</v>
      </c>
      <c r="G13" s="60">
        <f>Beechdean!G13</f>
        <v>1</v>
      </c>
      <c r="H13" s="60">
        <f>Beechdean!H13</f>
        <v>1</v>
      </c>
      <c r="I13" s="60">
        <f>Beechdean!I13</f>
        <v>1</v>
      </c>
      <c r="J13" s="60">
        <f>Beechdean!J13</f>
        <v>1</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Beechdean!C14</f>
        <v>Maize- Silage (30% DM)</v>
      </c>
      <c r="D14" s="102" t="str">
        <f>Beechdean!D14</f>
        <v xml:space="preserve">Grass Silage (25% DM) </v>
      </c>
      <c r="E14" s="102" t="str">
        <f>Beechdean!E14</f>
        <v xml:space="preserve">Grass Silage (25% DM) </v>
      </c>
      <c r="F14" s="102" t="str">
        <f>Beechdean!F14</f>
        <v xml:space="preserve">Grass Silage (25% DM) </v>
      </c>
      <c r="G14" s="102" t="str">
        <f>Beechdean!G14</f>
        <v>Maize- Silage (30% DM)</v>
      </c>
      <c r="H14" s="102" t="str">
        <f>Beechdean!H14</f>
        <v xml:space="preserve">Winter wheat- grain only </v>
      </c>
      <c r="I14" s="102" t="str">
        <f>Beechdean!I14</f>
        <v xml:space="preserve">Winter wheat- grain only </v>
      </c>
      <c r="J14" s="102" t="str">
        <f>Beechdean!J14</f>
        <v xml:space="preserve">Winter wheat- grain only </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7" t="s">
        <v>9</v>
      </c>
      <c r="B15" s="137"/>
      <c r="C15" s="60">
        <f>Beechdean!C15</f>
        <v>40</v>
      </c>
      <c r="D15" s="60">
        <f>Beechdean!D15</f>
        <v>38</v>
      </c>
      <c r="E15" s="60">
        <f>Beechdean!E15</f>
        <v>38</v>
      </c>
      <c r="F15" s="60">
        <f>Beechdean!F15</f>
        <v>38</v>
      </c>
      <c r="G15" s="60">
        <f>Beechdean!G15</f>
        <v>40</v>
      </c>
      <c r="H15" s="60">
        <f>Beechdean!H15</f>
        <v>8</v>
      </c>
      <c r="I15" s="60">
        <f>Beechdean!I15</f>
        <v>8</v>
      </c>
      <c r="J15" s="60">
        <f>Beechdean!J15</f>
        <v>8</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Beechdean!C16</f>
        <v>Sandy Loam</v>
      </c>
      <c r="D16" s="103" t="str">
        <f>Beechdean!D16</f>
        <v>Sandy Loam</v>
      </c>
      <c r="E16" s="103" t="str">
        <f>Beechdean!E16</f>
        <v>Sandy Loam</v>
      </c>
      <c r="F16" s="103" t="str">
        <f>Beechdean!F16</f>
        <v>Sandy Loam</v>
      </c>
      <c r="G16" s="103" t="str">
        <f>Beechdean!G16</f>
        <v>Sandy Loam</v>
      </c>
      <c r="H16" s="103" t="str">
        <f>Beechdean!H16</f>
        <v>Sandy Loam</v>
      </c>
      <c r="I16" s="103" t="str">
        <f>Beechdean!I16</f>
        <v>Sandy Loam</v>
      </c>
      <c r="J16" s="103" t="str">
        <f>Beechdean!J16</f>
        <v>Sandy Loam</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55.234177199999998</v>
      </c>
      <c r="D18" s="16">
        <f>$D32</f>
        <v>55.234177199999998</v>
      </c>
      <c r="E18" s="16">
        <f>$D33</f>
        <v>55.234177199999998</v>
      </c>
      <c r="F18" s="16">
        <f>$D34</f>
        <v>55.234177199999998</v>
      </c>
      <c r="G18" s="16">
        <f>$D35</f>
        <v>55.234177199999998</v>
      </c>
      <c r="H18" s="16">
        <f>$D36</f>
        <v>55.234177199999998</v>
      </c>
      <c r="I18" s="16">
        <f>$D37</f>
        <v>55.234177199999998</v>
      </c>
      <c r="J18" s="16">
        <f>$D38</f>
        <v>55.234177199999998</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-0.76582280000000225</v>
      </c>
      <c r="D19" s="16">
        <f t="shared" ref="D19:V19" si="1">D18-D17</f>
        <v>-9.3658227999999966</v>
      </c>
      <c r="E19" s="16">
        <f t="shared" si="1"/>
        <v>-9.3658227999999966</v>
      </c>
      <c r="F19" s="16">
        <f t="shared" si="1"/>
        <v>-9.3658227999999966</v>
      </c>
      <c r="G19" s="16">
        <f t="shared" si="1"/>
        <v>-0.76582280000000225</v>
      </c>
      <c r="H19" s="16">
        <f t="shared" si="1"/>
        <v>3.2341771999999978</v>
      </c>
      <c r="I19" s="16">
        <f t="shared" si="1"/>
        <v>3.2341771999999978</v>
      </c>
      <c r="J19" s="16">
        <f t="shared" si="1"/>
        <v>3.2341771999999978</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8.5584402000000015</v>
      </c>
      <c r="D22" s="16">
        <f>$E32</f>
        <v>8.5584402000000015</v>
      </c>
      <c r="E22" s="16">
        <f>$E33</f>
        <v>8.5584402000000015</v>
      </c>
      <c r="F22" s="16">
        <f>$E34</f>
        <v>8.5584402000000015</v>
      </c>
      <c r="G22" s="16">
        <f>$E35</f>
        <v>8.5584402000000015</v>
      </c>
      <c r="H22" s="16">
        <f>$E36</f>
        <v>8.5584402000000015</v>
      </c>
      <c r="I22" s="16">
        <f>$E37</f>
        <v>8.5584402000000015</v>
      </c>
      <c r="J22" s="16">
        <f>$E38</f>
        <v>8.5584402000000015</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-167.44155979999999</v>
      </c>
      <c r="D23" s="16">
        <f t="shared" ref="D23:V23" si="3">D22-D21</f>
        <v>-219.44155979999999</v>
      </c>
      <c r="E23" s="16">
        <f t="shared" si="3"/>
        <v>-219.44155979999999</v>
      </c>
      <c r="F23" s="16">
        <f t="shared" si="3"/>
        <v>-219.44155979999999</v>
      </c>
      <c r="G23" s="16">
        <f t="shared" si="3"/>
        <v>-167.44155979999999</v>
      </c>
      <c r="H23" s="16">
        <f t="shared" si="3"/>
        <v>-35.4415598</v>
      </c>
      <c r="I23" s="16">
        <f t="shared" si="3"/>
        <v>-35.4415598</v>
      </c>
      <c r="J23" s="16">
        <f t="shared" si="3"/>
        <v>-35.4415598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c r="O27" s="107"/>
      <c r="P27" s="107" t="s">
        <v>57</v>
      </c>
      <c r="Q27" s="107" t="s">
        <v>57</v>
      </c>
      <c r="R27" s="107"/>
      <c r="S27" s="107"/>
      <c r="T27" s="107"/>
      <c r="U27" s="107"/>
    </row>
    <row r="28" spans="1:40" s="57" customFormat="1" x14ac:dyDescent="0.35">
      <c r="A28" s="108"/>
      <c r="B28" s="24">
        <v>9.0500000000000007</v>
      </c>
      <c r="C28" s="15">
        <v>7.42</v>
      </c>
      <c r="D28" s="15">
        <v>1.48</v>
      </c>
      <c r="E28" s="15">
        <v>0.436</v>
      </c>
      <c r="F28" s="15">
        <v>0.156</v>
      </c>
      <c r="G28" s="15">
        <v>105</v>
      </c>
      <c r="H28" s="15">
        <v>229</v>
      </c>
      <c r="I28" s="15">
        <v>3.29</v>
      </c>
      <c r="J28" s="15">
        <v>0.1</v>
      </c>
      <c r="K28" s="23">
        <v>0.1</v>
      </c>
      <c r="L28" s="15">
        <v>20.2</v>
      </c>
      <c r="M28" s="15">
        <v>70.400000000000006</v>
      </c>
      <c r="N28" s="15"/>
      <c r="O28" s="15"/>
      <c r="P28" s="15">
        <v>0.72399999999999998</v>
      </c>
      <c r="Q28" s="15">
        <v>1.25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18</v>
      </c>
      <c r="C31" s="77">
        <f>IF(C$27="%w/w SAR",((C$28*10)*$B31),IF(C$27="%w/w DM",(((C$28*10)*($B$28/100))*$B31),IF(C$27="kg/t SAR",(C$28*$B31),IF(C$27="kg/t DM",((C$28*($B$28/100))*$B31),IF(C$27="mg/kg SAR",((C$28*0.001)*$B31),IF(C$27="mg/kg DM",(((C$28*0.001)*($B$28/100))*$B31),0))))))</f>
        <v>120.87180000000002</v>
      </c>
      <c r="D31" s="77">
        <f>(IF(D$27="%w/w SAR",((D$28*10)*$B31),IF(D$27="%w/w DM",(((D$28*10)*($B$28/100))*$B31),IF(D$27="kg/t SAR",(D$28*$B31),IF(D$27="kg/t DM",((D$28*($B$28/100))*$B31),IF(D$27="mg/kg SAR",((D$28*0.001)*$B31),IF(D$27="mg/kg DM",(((D$28*0.001)*($B$28/100))*$B31),"0")))))))*2.291</f>
        <v>55.234177199999998</v>
      </c>
      <c r="E31" s="77">
        <f>(IF(E$27="%w/w SAR",((E$28*10)*$B31),IF(E$27="%w/w DM",(((E$28*10)*($B$28/100))*$B31),IF(E$27="kg/t SAR",(E$28*$B31),IF(E$27="kg/t DM",((E$28*($B$28/100))*$B31),IF(E$27="mg/kg SAR",((E$28*0.001)*$B31),IF(E$27="mg/kg DM",(((E$28*0.001)*($B$28/100))*$B31),"0")))))))*1.205</f>
        <v>8.5584402000000015</v>
      </c>
      <c r="F31" s="77">
        <f>(IF(F$27="%w/w SAR",((F$28*10)*$B31),IF(F$27="%w/w DM",(((F$28*10)*($B$28/100))*$B31),IF(F$27="kg/t SAR",(F$28*$B31),IF(F$27="kg/t DM",((F$28*($B$28/100))*$B31),IF(F$27="mg/kg SAR",((F$28*0.001)*$B31),IF(F$27="mg/kg DM",(((F$28*0.001)*($B$28/100))*$B31),"0")))))))*1.658</f>
        <v>4.2133759200000007</v>
      </c>
      <c r="G31" s="77">
        <f t="shared" ref="G31:P46" si="5">IF(G$27="%w/w SAR",((G$28*10)*$B31),IF(G$27="%w/w DM",(((G$28*10)*($B$28/100))*$B31),IF(G$27="kg/t SAR",(G$28*$B31),IF(G$27="kg/t DM",((G$28*($B$28/100))*$B31),IF(G$27="mg/kg SAR",((G$28*0.001)*$B31),IF(G$27="mg/kg DM",(((G$28*0.001)*($B$28/100))*$B31),0))))))</f>
        <v>0.171045</v>
      </c>
      <c r="H31" s="77">
        <f t="shared" si="5"/>
        <v>0.37304100000000007</v>
      </c>
      <c r="I31" s="77">
        <f t="shared" si="5"/>
        <v>5.3594100000000002E-3</v>
      </c>
      <c r="J31" s="77">
        <f t="shared" si="5"/>
        <v>1.6290000000000003E-4</v>
      </c>
      <c r="K31" s="77">
        <f t="shared" si="5"/>
        <v>1.6290000000000003E-4</v>
      </c>
      <c r="L31" s="77">
        <f t="shared" si="5"/>
        <v>3.2905800000000006E-2</v>
      </c>
      <c r="M31" s="77">
        <f t="shared" si="5"/>
        <v>0.11468160000000002</v>
      </c>
      <c r="N31" s="77">
        <f t="shared" si="5"/>
        <v>0</v>
      </c>
      <c r="O31" s="77">
        <f t="shared" si="5"/>
        <v>0</v>
      </c>
      <c r="P31" s="77">
        <f t="shared" si="5"/>
        <v>11.793960000000002</v>
      </c>
      <c r="Q31" s="77">
        <f>(IF(Q$27="%w/w SAR",((Q$28*10)*$B31),IF(Q$27="%w/w DM",(((Q$28*10)*($B$28/100))*$B31),IF(Q$27="kg/t SAR",(Q$28*$B31),IF(Q$27="kg/t DM",((Q$28*($B$28/100))*$B31),IF(Q$27="mg/kg SAR",((Q$28*0.001)*$B31),IF(Q$27="mg/kg DM",(((Q$28*0.001)*($B$28/100))*$B31),0)))))))*2.5</f>
        <v>50.90625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18</v>
      </c>
      <c r="C32" s="77">
        <f t="shared" ref="C32:C50" si="6">IF(C$27="%w/w SAR",((C$28*10)*$B32),IF(C$27="%w/w DM",(((C$28*10)*($B$28/100))*$B32),IF(C$27="kg/t SAR",(C$28*$B32),IF(C$27="kg/t DM",((C$28*($B$28/100))*$B32),IF(C$27="mg/kg SAR",((C$28*0.001)*$B32),IF(C$27="mg/kg DM",(((C$28*0.001)*($B$28/100))*$B32),0))))))</f>
        <v>120.87180000000002</v>
      </c>
      <c r="D32" s="77">
        <f t="shared" ref="D32:D50" si="7">(IF(D$27="%w/w SAR",((D$28*10)*$B32),IF(D$27="%w/w DM",(((D$28*10)*($B$28/100))*$B32),IF(D$27="kg/t SAR",(D$28*$B32),IF(D$27="kg/t DM",((D$28*($B$28/100))*$B32),IF(D$27="mg/kg SAR",((D$28*0.001)*$B32),IF(D$27="mg/kg DM",(((D$28*0.001)*($B$28/100))*$B32),"0")))))))*2.291</f>
        <v>55.234177199999998</v>
      </c>
      <c r="E32" s="77">
        <f t="shared" ref="E32:E50" si="8">(IF(E$27="%w/w SAR",((E$28*10)*$B32),IF(E$27="%w/w DM",(((E$28*10)*($B$28/100))*$B32),IF(E$27="kg/t SAR",(E$28*$B32),IF(E$27="kg/t DM",((E$28*($B$28/100))*$B32),IF(E$27="mg/kg SAR",((E$28*0.001)*$B32),IF(E$27="mg/kg DM",(((E$28*0.001)*($B$28/100))*$B32),"0")))))))*1.205</f>
        <v>8.5584402000000015</v>
      </c>
      <c r="F32" s="77">
        <f t="shared" ref="F32:F50" si="9">(IF(F$27="%w/w SAR",((F$28*10)*$B32),IF(F$27="%w/w DM",(((F$28*10)*($B$28/100))*$B32),IF(F$27="kg/t SAR",(F$28*$B32),IF(F$27="kg/t DM",((F$28*($B$28/100))*$B32),IF(F$27="mg/kg SAR",((F$28*0.001)*$B32),IF(F$27="mg/kg DM",(((F$28*0.001)*($B$28/100))*$B32),"0")))))))*1.658</f>
        <v>4.2133759200000007</v>
      </c>
      <c r="G32" s="77">
        <f t="shared" si="5"/>
        <v>0.171045</v>
      </c>
      <c r="H32" s="77">
        <f t="shared" si="5"/>
        <v>0.37304100000000007</v>
      </c>
      <c r="I32" s="77">
        <f t="shared" si="5"/>
        <v>5.3594100000000002E-3</v>
      </c>
      <c r="J32" s="77">
        <f t="shared" si="5"/>
        <v>1.6290000000000003E-4</v>
      </c>
      <c r="K32" s="77">
        <f t="shared" si="5"/>
        <v>1.6290000000000003E-4</v>
      </c>
      <c r="L32" s="77">
        <f t="shared" si="5"/>
        <v>3.2905800000000006E-2</v>
      </c>
      <c r="M32" s="77">
        <f t="shared" si="5"/>
        <v>0.11468160000000002</v>
      </c>
      <c r="N32" s="77">
        <f t="shared" si="5"/>
        <v>0</v>
      </c>
      <c r="O32" s="77">
        <f t="shared" si="5"/>
        <v>0</v>
      </c>
      <c r="P32" s="77">
        <f t="shared" si="5"/>
        <v>11.793960000000002</v>
      </c>
      <c r="Q32" s="77">
        <f t="shared" ref="Q32:Q50" si="10">(IF(Q$27="%w/w SAR",((Q$28*10)*$B32),IF(Q$27="%w/w DM",(((Q$28*10)*($B$28/100))*$B32),IF(Q$27="kg/t SAR",(Q$28*$B32),IF(Q$27="kg/t DM",((Q$28*($B$28/100))*$B32),IF(Q$27="mg/kg SAR",((Q$28*0.001)*$B32),IF(Q$27="mg/kg DM",(((Q$28*0.001)*($B$28/100))*$B32),0)))))))*2.5</f>
        <v>50.90625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18</v>
      </c>
      <c r="C33" s="77">
        <f t="shared" si="6"/>
        <v>120.87180000000002</v>
      </c>
      <c r="D33" s="77">
        <f t="shared" si="7"/>
        <v>55.234177199999998</v>
      </c>
      <c r="E33" s="77">
        <f t="shared" si="8"/>
        <v>8.5584402000000015</v>
      </c>
      <c r="F33" s="77">
        <f t="shared" si="9"/>
        <v>4.2133759200000007</v>
      </c>
      <c r="G33" s="77">
        <f t="shared" si="5"/>
        <v>0.171045</v>
      </c>
      <c r="H33" s="77">
        <f t="shared" si="5"/>
        <v>0.37304100000000007</v>
      </c>
      <c r="I33" s="77">
        <f t="shared" si="5"/>
        <v>5.3594100000000002E-3</v>
      </c>
      <c r="J33" s="77">
        <f t="shared" si="5"/>
        <v>1.6290000000000003E-4</v>
      </c>
      <c r="K33" s="77">
        <f t="shared" si="5"/>
        <v>1.6290000000000003E-4</v>
      </c>
      <c r="L33" s="77">
        <f t="shared" si="5"/>
        <v>3.2905800000000006E-2</v>
      </c>
      <c r="M33" s="77">
        <f t="shared" si="5"/>
        <v>0.11468160000000002</v>
      </c>
      <c r="N33" s="77">
        <f t="shared" si="5"/>
        <v>0</v>
      </c>
      <c r="O33" s="77">
        <f t="shared" si="5"/>
        <v>0</v>
      </c>
      <c r="P33" s="77">
        <f t="shared" si="5"/>
        <v>11.793960000000002</v>
      </c>
      <c r="Q33" s="77">
        <f t="shared" si="10"/>
        <v>50.90625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18</v>
      </c>
      <c r="C34" s="77">
        <f t="shared" si="6"/>
        <v>120.87180000000002</v>
      </c>
      <c r="D34" s="77">
        <f t="shared" si="7"/>
        <v>55.234177199999998</v>
      </c>
      <c r="E34" s="77">
        <f t="shared" si="8"/>
        <v>8.5584402000000015</v>
      </c>
      <c r="F34" s="77">
        <f t="shared" si="9"/>
        <v>4.2133759200000007</v>
      </c>
      <c r="G34" s="77">
        <f t="shared" si="5"/>
        <v>0.171045</v>
      </c>
      <c r="H34" s="77">
        <f t="shared" si="5"/>
        <v>0.37304100000000007</v>
      </c>
      <c r="I34" s="77">
        <f t="shared" si="5"/>
        <v>5.3594100000000002E-3</v>
      </c>
      <c r="J34" s="77">
        <f t="shared" si="5"/>
        <v>1.6290000000000003E-4</v>
      </c>
      <c r="K34" s="77">
        <f t="shared" si="5"/>
        <v>1.6290000000000003E-4</v>
      </c>
      <c r="L34" s="77">
        <f t="shared" si="5"/>
        <v>3.2905800000000006E-2</v>
      </c>
      <c r="M34" s="77">
        <f t="shared" si="5"/>
        <v>0.11468160000000002</v>
      </c>
      <c r="N34" s="77">
        <f t="shared" si="5"/>
        <v>0</v>
      </c>
      <c r="O34" s="77">
        <f t="shared" si="5"/>
        <v>0</v>
      </c>
      <c r="P34" s="77">
        <f t="shared" si="5"/>
        <v>11.793960000000002</v>
      </c>
      <c r="Q34" s="77">
        <f t="shared" si="10"/>
        <v>50.90625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18</v>
      </c>
      <c r="C35" s="77">
        <f t="shared" si="6"/>
        <v>120.87180000000002</v>
      </c>
      <c r="D35" s="77">
        <f t="shared" si="7"/>
        <v>55.234177199999998</v>
      </c>
      <c r="E35" s="77">
        <f t="shared" si="8"/>
        <v>8.5584402000000015</v>
      </c>
      <c r="F35" s="77">
        <f t="shared" si="9"/>
        <v>4.2133759200000007</v>
      </c>
      <c r="G35" s="77">
        <f t="shared" si="5"/>
        <v>0.171045</v>
      </c>
      <c r="H35" s="77">
        <f t="shared" si="5"/>
        <v>0.37304100000000007</v>
      </c>
      <c r="I35" s="77">
        <f t="shared" si="5"/>
        <v>5.3594100000000002E-3</v>
      </c>
      <c r="J35" s="77">
        <f t="shared" si="5"/>
        <v>1.6290000000000003E-4</v>
      </c>
      <c r="K35" s="77">
        <f t="shared" si="5"/>
        <v>1.6290000000000003E-4</v>
      </c>
      <c r="L35" s="77">
        <f t="shared" si="5"/>
        <v>3.2905800000000006E-2</v>
      </c>
      <c r="M35" s="77">
        <f t="shared" si="5"/>
        <v>0.11468160000000002</v>
      </c>
      <c r="N35" s="77">
        <f t="shared" si="5"/>
        <v>0</v>
      </c>
      <c r="O35" s="77">
        <f t="shared" si="5"/>
        <v>0</v>
      </c>
      <c r="P35" s="77">
        <f t="shared" si="5"/>
        <v>11.793960000000002</v>
      </c>
      <c r="Q35" s="77">
        <f t="shared" si="10"/>
        <v>50.90625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18</v>
      </c>
      <c r="C36" s="77">
        <f t="shared" si="6"/>
        <v>120.87180000000002</v>
      </c>
      <c r="D36" s="77">
        <f t="shared" si="7"/>
        <v>55.234177199999998</v>
      </c>
      <c r="E36" s="77">
        <f t="shared" si="8"/>
        <v>8.5584402000000015</v>
      </c>
      <c r="F36" s="77">
        <f t="shared" si="9"/>
        <v>4.2133759200000007</v>
      </c>
      <c r="G36" s="77">
        <f t="shared" si="5"/>
        <v>0.171045</v>
      </c>
      <c r="H36" s="77">
        <f t="shared" si="5"/>
        <v>0.37304100000000007</v>
      </c>
      <c r="I36" s="77">
        <f t="shared" si="5"/>
        <v>5.3594100000000002E-3</v>
      </c>
      <c r="J36" s="77">
        <f t="shared" si="5"/>
        <v>1.6290000000000003E-4</v>
      </c>
      <c r="K36" s="77">
        <f t="shared" si="5"/>
        <v>1.6290000000000003E-4</v>
      </c>
      <c r="L36" s="77">
        <f t="shared" si="5"/>
        <v>3.2905800000000006E-2</v>
      </c>
      <c r="M36" s="77">
        <f t="shared" si="5"/>
        <v>0.11468160000000002</v>
      </c>
      <c r="N36" s="77">
        <f t="shared" si="5"/>
        <v>0</v>
      </c>
      <c r="O36" s="77">
        <f t="shared" si="5"/>
        <v>0</v>
      </c>
      <c r="P36" s="77">
        <f t="shared" si="5"/>
        <v>11.793960000000002</v>
      </c>
      <c r="Q36" s="77">
        <f t="shared" si="10"/>
        <v>50.90625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18</v>
      </c>
      <c r="C37" s="77">
        <f t="shared" si="6"/>
        <v>120.87180000000002</v>
      </c>
      <c r="D37" s="77">
        <f t="shared" si="7"/>
        <v>55.234177199999998</v>
      </c>
      <c r="E37" s="77">
        <f t="shared" si="8"/>
        <v>8.5584402000000015</v>
      </c>
      <c r="F37" s="77">
        <f t="shared" si="9"/>
        <v>4.2133759200000007</v>
      </c>
      <c r="G37" s="77">
        <f t="shared" si="5"/>
        <v>0.171045</v>
      </c>
      <c r="H37" s="77">
        <f t="shared" si="5"/>
        <v>0.37304100000000007</v>
      </c>
      <c r="I37" s="77">
        <f t="shared" si="5"/>
        <v>5.3594100000000002E-3</v>
      </c>
      <c r="J37" s="77">
        <f t="shared" si="5"/>
        <v>1.6290000000000003E-4</v>
      </c>
      <c r="K37" s="77">
        <f t="shared" si="5"/>
        <v>1.6290000000000003E-4</v>
      </c>
      <c r="L37" s="77">
        <f t="shared" si="5"/>
        <v>3.2905800000000006E-2</v>
      </c>
      <c r="M37" s="77">
        <f t="shared" si="5"/>
        <v>0.11468160000000002</v>
      </c>
      <c r="N37" s="77">
        <f t="shared" si="5"/>
        <v>0</v>
      </c>
      <c r="O37" s="77">
        <f t="shared" si="5"/>
        <v>0</v>
      </c>
      <c r="P37" s="77">
        <f t="shared" si="5"/>
        <v>11.793960000000002</v>
      </c>
      <c r="Q37" s="77">
        <f t="shared" si="10"/>
        <v>50.90625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18</v>
      </c>
      <c r="C38" s="77">
        <f t="shared" si="6"/>
        <v>120.87180000000002</v>
      </c>
      <c r="D38" s="77">
        <f t="shared" si="7"/>
        <v>55.234177199999998</v>
      </c>
      <c r="E38" s="77">
        <f t="shared" si="8"/>
        <v>8.5584402000000015</v>
      </c>
      <c r="F38" s="77">
        <f t="shared" si="9"/>
        <v>4.2133759200000007</v>
      </c>
      <c r="G38" s="77">
        <f t="shared" si="5"/>
        <v>0.171045</v>
      </c>
      <c r="H38" s="77">
        <f t="shared" si="5"/>
        <v>0.37304100000000007</v>
      </c>
      <c r="I38" s="77">
        <f t="shared" si="5"/>
        <v>5.3594100000000002E-3</v>
      </c>
      <c r="J38" s="77">
        <f t="shared" si="5"/>
        <v>1.6290000000000003E-4</v>
      </c>
      <c r="K38" s="77">
        <f t="shared" si="5"/>
        <v>1.6290000000000003E-4</v>
      </c>
      <c r="L38" s="77">
        <f t="shared" si="5"/>
        <v>3.2905800000000006E-2</v>
      </c>
      <c r="M38" s="77">
        <f t="shared" si="5"/>
        <v>0.11468160000000002</v>
      </c>
      <c r="N38" s="77">
        <f t="shared" si="5"/>
        <v>0</v>
      </c>
      <c r="O38" s="77">
        <f t="shared" si="5"/>
        <v>0</v>
      </c>
      <c r="P38" s="77">
        <f t="shared" si="5"/>
        <v>11.793960000000002</v>
      </c>
      <c r="Q38" s="77">
        <f t="shared" si="10"/>
        <v>50.90625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Sandy Loam I Arable</v>
      </c>
      <c r="C58" s="13" t="str">
        <f>D16&amp;" I "&amp;(VLOOKUP(D14,Table24581114[],6,FALSE))</f>
        <v>Sandy Loam I Grass</v>
      </c>
      <c r="D58" s="13" t="str">
        <f>E16&amp;" I "&amp;(VLOOKUP(E14,Table24581114[],6,FALSE))</f>
        <v>Sandy Loam I Grass</v>
      </c>
      <c r="E58" s="13" t="str">
        <f>F16&amp;" I "&amp;(VLOOKUP(F14,Table24581114[],6,FALSE))</f>
        <v>Sandy Loam I Grass</v>
      </c>
      <c r="F58" s="13" t="str">
        <f>G16&amp;" I "&amp;(VLOOKUP(G14,Table24581114[],6,FALSE))</f>
        <v>Sandy Loam I Arable</v>
      </c>
      <c r="G58" s="13" t="str">
        <f>H16&amp;" I "&amp;(VLOOKUP(H14,Table24581114[],6,FALSE))</f>
        <v>Sandy Loam I Arable</v>
      </c>
      <c r="H58" s="13" t="str">
        <f>I16&amp;" I "&amp;(VLOOKUP(I14,Table24581114[],6,FALSE))</f>
        <v>Sandy Loam I Arable</v>
      </c>
      <c r="I58" s="13" t="str">
        <f>J16&amp;" I "&amp;(VLOOKUP(J14,Table24581114[],6,FALSE))</f>
        <v>Sandy Loam I Arable</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6.2</v>
      </c>
      <c r="D59" s="76">
        <f>VLOOKUP(E$14,Table24581114[],5,FALSE)</f>
        <v>6.2</v>
      </c>
      <c r="E59" s="76">
        <f>VLOOKUP(F$14,Table24581114[],5,FALSE)</f>
        <v>6.2</v>
      </c>
      <c r="F59" s="76">
        <f>VLOOKUP(G$14,Table24581114[],5,FALSE)</f>
        <v>6.7</v>
      </c>
      <c r="G59" s="76">
        <f>VLOOKUP(H$14,Table24581114[],5,FALSE)</f>
        <v>6.7</v>
      </c>
      <c r="H59" s="76">
        <f>VLOOKUP(I$14,Table24581114[],5,FALSE)</f>
        <v>6.7</v>
      </c>
      <c r="I59" s="76">
        <f>VLOOKUP(J$14,Table24581114[],5,FALSE)</f>
        <v>6.7</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v>
      </c>
      <c r="C62" s="77">
        <f>B32</f>
        <v>18</v>
      </c>
      <c r="D62" s="77">
        <f>B33</f>
        <v>18</v>
      </c>
      <c r="E62" s="77">
        <f>B34</f>
        <v>18</v>
      </c>
      <c r="F62" s="77">
        <f>B35</f>
        <v>18</v>
      </c>
      <c r="G62" s="77">
        <f>B36</f>
        <v>18</v>
      </c>
      <c r="H62" s="77">
        <f>B37</f>
        <v>18</v>
      </c>
      <c r="I62" s="77">
        <f>B38</f>
        <v>18</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H1" zoomScale="60" zoomScaleNormal="60" workbookViewId="0">
      <selection activeCell="L4" sqref="L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PAN-016059</v>
      </c>
      <c r="D1" s="143"/>
      <c r="E1" s="93" t="s">
        <v>45</v>
      </c>
      <c r="F1" s="39">
        <f>Beechdean!F1</f>
        <v>33</v>
      </c>
      <c r="G1" s="125" t="s">
        <v>43</v>
      </c>
      <c r="H1" s="126"/>
      <c r="I1" s="118">
        <v>3.94</v>
      </c>
      <c r="J1" s="129" t="s">
        <v>153</v>
      </c>
      <c r="K1" s="12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Beechdean!C2:D2</f>
        <v>KP3594VE</v>
      </c>
      <c r="D2" s="145"/>
      <c r="E2" s="93" t="s">
        <v>109</v>
      </c>
      <c r="F2" s="96" t="s">
        <v>181</v>
      </c>
      <c r="G2" s="127" t="s">
        <v>110</v>
      </c>
      <c r="H2" s="128"/>
      <c r="I2" s="118">
        <v>252</v>
      </c>
      <c r="J2" s="129" t="s">
        <v>158</v>
      </c>
      <c r="K2" s="129"/>
      <c r="L2" s="97">
        <v>0.19</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Beechdean!C3:D3</f>
        <v>Trade Effluent Services Limited</v>
      </c>
      <c r="D3" s="145"/>
      <c r="E3" s="93" t="s">
        <v>108</v>
      </c>
      <c r="F3" s="31" t="s">
        <v>77</v>
      </c>
      <c r="G3" s="129" t="s">
        <v>159</v>
      </c>
      <c r="H3" s="129"/>
      <c r="I3" s="118">
        <v>220</v>
      </c>
      <c r="J3" s="125" t="s">
        <v>154</v>
      </c>
      <c r="K3" s="126"/>
      <c r="L3" s="97">
        <f>(L1/(L2*10000))*100</f>
        <v>1.3157894736842104</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Beechdean!C4:D4</f>
        <v>Gwysaney Home Farm, Denbigh Road, Mold, CH7 5HE</v>
      </c>
      <c r="D4" s="143"/>
      <c r="E4" s="94" t="s">
        <v>1</v>
      </c>
      <c r="F4" s="96" t="s">
        <v>171</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Beechdean!C5:D5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Beechdean!C8</f>
        <v>1</v>
      </c>
      <c r="D8" s="60">
        <f>Beechdean!D8</f>
        <v>2</v>
      </c>
      <c r="E8" s="60">
        <f>Beechdean!E8</f>
        <v>3</v>
      </c>
      <c r="F8" s="60">
        <f>Beechdean!F8</f>
        <v>4</v>
      </c>
      <c r="G8" s="60">
        <f>Beechdean!G8</f>
        <v>5</v>
      </c>
      <c r="H8" s="60">
        <f>Beechdean!H8</f>
        <v>6</v>
      </c>
      <c r="I8" s="60">
        <f>Beechdean!I8</f>
        <v>7</v>
      </c>
      <c r="J8" s="60">
        <f>Beechdean!J8</f>
        <v>8</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Beechdean!C9</f>
        <v>1</v>
      </c>
      <c r="D9" s="60" t="str">
        <f>Beechdean!D9</f>
        <v>Moderate</v>
      </c>
      <c r="E9" s="60" t="str">
        <f>Beechdean!E9</f>
        <v>Moderate</v>
      </c>
      <c r="F9" s="60" t="str">
        <f>Beechdean!F9</f>
        <v>Moderate</v>
      </c>
      <c r="G9" s="60">
        <f>Beechdean!G9</f>
        <v>1</v>
      </c>
      <c r="H9" s="60">
        <f>Beechdean!H9</f>
        <v>1</v>
      </c>
      <c r="I9" s="60">
        <f>Beechdean!I9</f>
        <v>1</v>
      </c>
      <c r="J9" s="60">
        <f>Beechdean!J9</f>
        <v>1</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Beechdean!C10</f>
        <v>6.7</v>
      </c>
      <c r="D10" s="60">
        <f>Beechdean!D10</f>
        <v>6.6</v>
      </c>
      <c r="E10" s="60">
        <f>Beechdean!E10</f>
        <v>6.9</v>
      </c>
      <c r="F10" s="60">
        <f>Beechdean!F10</f>
        <v>6.3</v>
      </c>
      <c r="G10" s="60">
        <f>Beechdean!G10</f>
        <v>6.5</v>
      </c>
      <c r="H10" s="60">
        <f>Beechdean!H10</f>
        <v>6.8</v>
      </c>
      <c r="I10" s="60">
        <f>Beechdean!I10</f>
        <v>6.6</v>
      </c>
      <c r="J10" s="60">
        <f>Beechdean!J10</f>
        <v>7.2</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Beechdean!C11</f>
        <v>1</v>
      </c>
      <c r="D11" s="60">
        <f>Beechdean!D11</f>
        <v>1</v>
      </c>
      <c r="E11" s="60">
        <f>Beechdean!E11</f>
        <v>1</v>
      </c>
      <c r="F11" s="60">
        <f>Beechdean!F11</f>
        <v>1</v>
      </c>
      <c r="G11" s="60">
        <f>Beechdean!G11</f>
        <v>1</v>
      </c>
      <c r="H11" s="60">
        <f>Beechdean!H11</f>
        <v>3</v>
      </c>
      <c r="I11" s="60">
        <f>Beechdean!I11</f>
        <v>3</v>
      </c>
      <c r="J11" s="60">
        <f>Beechdean!J11</f>
        <v>1</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Beechdean!C12</f>
        <v>1</v>
      </c>
      <c r="D12" s="60">
        <f>Beechdean!D12</f>
        <v>1</v>
      </c>
      <c r="E12" s="60">
        <f>Beechdean!E12</f>
        <v>1</v>
      </c>
      <c r="F12" s="60">
        <f>Beechdean!F12</f>
        <v>1</v>
      </c>
      <c r="G12" s="60">
        <f>Beechdean!G12</f>
        <v>1</v>
      </c>
      <c r="H12" s="60">
        <f>Beechdean!H12</f>
        <v>1</v>
      </c>
      <c r="I12" s="60">
        <f>Beechdean!I12</f>
        <v>1</v>
      </c>
      <c r="J12" s="60">
        <f>Beechdean!J12</f>
        <v>1</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Beechdean!C13</f>
        <v>1</v>
      </c>
      <c r="D13" s="60">
        <f>Beechdean!D13</f>
        <v>1</v>
      </c>
      <c r="E13" s="60">
        <f>Beechdean!E13</f>
        <v>1</v>
      </c>
      <c r="F13" s="60">
        <f>Beechdean!F13</f>
        <v>1</v>
      </c>
      <c r="G13" s="60">
        <f>Beechdean!G13</f>
        <v>1</v>
      </c>
      <c r="H13" s="60">
        <f>Beechdean!H13</f>
        <v>1</v>
      </c>
      <c r="I13" s="60">
        <f>Beechdean!I13</f>
        <v>1</v>
      </c>
      <c r="J13" s="60">
        <f>Beechdean!J13</f>
        <v>1</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Beechdean!C14</f>
        <v>Maize- Silage (30% DM)</v>
      </c>
      <c r="D14" s="102" t="str">
        <f>Beechdean!D14</f>
        <v xml:space="preserve">Grass Silage (25% DM) </v>
      </c>
      <c r="E14" s="102" t="str">
        <f>Beechdean!E14</f>
        <v xml:space="preserve">Grass Silage (25% DM) </v>
      </c>
      <c r="F14" s="102" t="str">
        <f>Beechdean!F14</f>
        <v xml:space="preserve">Grass Silage (25% DM) </v>
      </c>
      <c r="G14" s="102" t="str">
        <f>Beechdean!G14</f>
        <v>Maize- Silage (30% DM)</v>
      </c>
      <c r="H14" s="102" t="str">
        <f>Beechdean!H14</f>
        <v xml:space="preserve">Winter wheat- grain only </v>
      </c>
      <c r="I14" s="102" t="str">
        <f>Beechdean!I14</f>
        <v xml:space="preserve">Winter wheat- grain only </v>
      </c>
      <c r="J14" s="102" t="str">
        <f>Beechdean!J14</f>
        <v xml:space="preserve">Winter wheat- grain only </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7" t="s">
        <v>9</v>
      </c>
      <c r="B15" s="137"/>
      <c r="C15" s="60">
        <f>Beechdean!C15</f>
        <v>40</v>
      </c>
      <c r="D15" s="60">
        <f>Beechdean!D15</f>
        <v>38</v>
      </c>
      <c r="E15" s="60">
        <f>Beechdean!E15</f>
        <v>38</v>
      </c>
      <c r="F15" s="60">
        <f>Beechdean!F15</f>
        <v>38</v>
      </c>
      <c r="G15" s="60">
        <f>Beechdean!G15</f>
        <v>40</v>
      </c>
      <c r="H15" s="60">
        <f>Beechdean!H15</f>
        <v>8</v>
      </c>
      <c r="I15" s="60">
        <f>Beechdean!I15</f>
        <v>8</v>
      </c>
      <c r="J15" s="60">
        <f>Beechdean!J15</f>
        <v>8</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Beechdean!C16</f>
        <v>Sandy Loam</v>
      </c>
      <c r="D16" s="103" t="str">
        <f>Beechdean!D16</f>
        <v>Sandy Loam</v>
      </c>
      <c r="E16" s="103" t="str">
        <f>Beechdean!E16</f>
        <v>Sandy Loam</v>
      </c>
      <c r="F16" s="103" t="str">
        <f>Beechdean!F16</f>
        <v>Sandy Loam</v>
      </c>
      <c r="G16" s="103" t="str">
        <f>Beechdean!G16</f>
        <v>Sandy Loam</v>
      </c>
      <c r="H16" s="103" t="str">
        <f>Beechdean!H16</f>
        <v>Sandy Loam</v>
      </c>
      <c r="I16" s="103" t="str">
        <f>Beechdean!I16</f>
        <v>Sandy Loam</v>
      </c>
      <c r="J16" s="103" t="str">
        <f>Beechdean!J16</f>
        <v>Sandy Loam</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55.4422</v>
      </c>
      <c r="D18" s="16">
        <f>$D32</f>
        <v>55.4422</v>
      </c>
      <c r="E18" s="16">
        <f>$D33</f>
        <v>55.4422</v>
      </c>
      <c r="F18" s="16">
        <f>$D34</f>
        <v>55.4422</v>
      </c>
      <c r="G18" s="16">
        <f>$D35</f>
        <v>55.4422</v>
      </c>
      <c r="H18" s="16">
        <f>$D36</f>
        <v>55.4422</v>
      </c>
      <c r="I18" s="16">
        <f>$D37</f>
        <v>55.4422</v>
      </c>
      <c r="J18" s="16">
        <f>$D38</f>
        <v>55.4422</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-0.5578000000000003</v>
      </c>
      <c r="D19" s="16">
        <f t="shared" ref="D19:V19" si="1">D18-D17</f>
        <v>-9.1577999999999946</v>
      </c>
      <c r="E19" s="16">
        <f t="shared" si="1"/>
        <v>-9.1577999999999946</v>
      </c>
      <c r="F19" s="16">
        <f t="shared" si="1"/>
        <v>-9.1577999999999946</v>
      </c>
      <c r="G19" s="16">
        <f t="shared" si="1"/>
        <v>-0.5578000000000003</v>
      </c>
      <c r="H19" s="16">
        <f t="shared" si="1"/>
        <v>3.4421999999999997</v>
      </c>
      <c r="I19" s="16">
        <f t="shared" si="1"/>
        <v>3.4421999999999997</v>
      </c>
      <c r="J19" s="16">
        <f t="shared" si="1"/>
        <v>3.4421999999999997</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18.436499999999999</v>
      </c>
      <c r="D22" s="16">
        <f>$E32</f>
        <v>18.436499999999999</v>
      </c>
      <c r="E22" s="16">
        <f>$E33</f>
        <v>18.436499999999999</v>
      </c>
      <c r="F22" s="16">
        <f>$E34</f>
        <v>18.436499999999999</v>
      </c>
      <c r="G22" s="16">
        <f>$E35</f>
        <v>18.436499999999999</v>
      </c>
      <c r="H22" s="16">
        <f>$E36</f>
        <v>18.436499999999999</v>
      </c>
      <c r="I22" s="16">
        <f>$E37</f>
        <v>18.436499999999999</v>
      </c>
      <c r="J22" s="16">
        <f>$E38</f>
        <v>18.436499999999999</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-157.5635</v>
      </c>
      <c r="D23" s="16">
        <f t="shared" ref="D23:V23" si="3">D22-D21</f>
        <v>-209.5635</v>
      </c>
      <c r="E23" s="16">
        <f t="shared" si="3"/>
        <v>-209.5635</v>
      </c>
      <c r="F23" s="16">
        <f t="shared" si="3"/>
        <v>-209.5635</v>
      </c>
      <c r="G23" s="16">
        <f t="shared" si="3"/>
        <v>-157.5635</v>
      </c>
      <c r="H23" s="16">
        <f t="shared" si="3"/>
        <v>-25.563500000000001</v>
      </c>
      <c r="I23" s="16">
        <f t="shared" si="3"/>
        <v>-25.563500000000001</v>
      </c>
      <c r="J23" s="16">
        <f t="shared" si="3"/>
        <v>-25.563500000000001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3.25</v>
      </c>
      <c r="C28" s="15">
        <v>0.19</v>
      </c>
      <c r="D28" s="15">
        <v>242</v>
      </c>
      <c r="E28" s="15">
        <v>153</v>
      </c>
      <c r="F28" s="15">
        <v>28</v>
      </c>
      <c r="G28" s="15">
        <v>2.5</v>
      </c>
      <c r="H28" s="15">
        <v>1.87</v>
      </c>
      <c r="I28" s="15">
        <v>0.753</v>
      </c>
      <c r="J28" s="15">
        <v>0.01</v>
      </c>
      <c r="K28" s="23">
        <v>0.05</v>
      </c>
      <c r="L28" s="15">
        <v>0.2</v>
      </c>
      <c r="M28" s="15">
        <v>0.32300000000000001</v>
      </c>
      <c r="N28" s="15"/>
      <c r="O28" s="15"/>
      <c r="P28" s="15">
        <v>160</v>
      </c>
      <c r="Q28" s="15">
        <v>107</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100</v>
      </c>
      <c r="C31" s="77">
        <f>IF(C$27="%w/w SAR",((C$28*10)*$B31),IF(C$27="%w/w DM",(((C$28*10)*($B$28/100))*$B31),IF(C$27="kg/t SAR",(C$28*$B31),IF(C$27="kg/t DM",((C$28*($B$28/100))*$B31),IF(C$27="mg/kg SAR",((C$28*0.001)*$B31),IF(C$27="mg/kg DM",(((C$28*0.001)*($B$28/100))*$B31),0))))))</f>
        <v>190</v>
      </c>
      <c r="D31" s="77">
        <f>(IF(D$27="%w/w SAR",((D$28*10)*$B31),IF(D$27="%w/w DM",(((D$28*10)*($B$28/100))*$B31),IF(D$27="kg/t SAR",(D$28*$B31),IF(D$27="kg/t DM",((D$28*($B$28/100))*$B31),IF(D$27="mg/kg SAR",((D$28*0.001)*$B31),IF(D$27="mg/kg DM",(((D$28*0.001)*($B$28/100))*$B31),"0")))))))*2.291</f>
        <v>55.4422</v>
      </c>
      <c r="E31" s="77">
        <f>(IF(E$27="%w/w SAR",((E$28*10)*$B31),IF(E$27="%w/w DM",(((E$28*10)*($B$28/100))*$B31),IF(E$27="kg/t SAR",(E$28*$B31),IF(E$27="kg/t DM",((E$28*($B$28/100))*$B31),IF(E$27="mg/kg SAR",((E$28*0.001)*$B31),IF(E$27="mg/kg DM",(((E$28*0.001)*($B$28/100))*$B31),"0")))))))*1.205</f>
        <v>18.436499999999999</v>
      </c>
      <c r="F31" s="77">
        <f>(IF(F$27="%w/w SAR",((F$28*10)*$B31),IF(F$27="%w/w DM",(((F$28*10)*($B$28/100))*$B31),IF(F$27="kg/t SAR",(F$28*$B31),IF(F$27="kg/t DM",((F$28*($B$28/100))*$B31),IF(F$27="mg/kg SAR",((F$28*0.001)*$B31),IF(F$27="mg/kg DM",(((F$28*0.001)*($B$28/100))*$B31),"0")))))))*1.658</f>
        <v>4.6424000000000003</v>
      </c>
      <c r="G31" s="77">
        <f t="shared" ref="G31:P46" si="5">IF(G$27="%w/w SAR",((G$28*10)*$B31),IF(G$27="%w/w DM",(((G$28*10)*($B$28/100))*$B31),IF(G$27="kg/t SAR",(G$28*$B31),IF(G$27="kg/t DM",((G$28*($B$28/100))*$B31),IF(G$27="mg/kg SAR",((G$28*0.001)*$B31),IF(G$27="mg/kg DM",(((G$28*0.001)*($B$28/100))*$B31),0))))))</f>
        <v>0.25</v>
      </c>
      <c r="H31" s="77">
        <f t="shared" si="5"/>
        <v>0.187</v>
      </c>
      <c r="I31" s="77">
        <f t="shared" si="5"/>
        <v>7.5299999999999992E-2</v>
      </c>
      <c r="J31" s="77">
        <f t="shared" si="5"/>
        <v>1E-3</v>
      </c>
      <c r="K31" s="77">
        <f t="shared" si="5"/>
        <v>5.0000000000000001E-3</v>
      </c>
      <c r="L31" s="77">
        <f t="shared" si="5"/>
        <v>0.02</v>
      </c>
      <c r="M31" s="77">
        <f t="shared" si="5"/>
        <v>3.2300000000000002E-2</v>
      </c>
      <c r="N31" s="77">
        <f t="shared" si="5"/>
        <v>0</v>
      </c>
      <c r="O31" s="77">
        <f t="shared" si="5"/>
        <v>0</v>
      </c>
      <c r="P31" s="77">
        <f t="shared" si="5"/>
        <v>16</v>
      </c>
      <c r="Q31" s="77">
        <f>(IF(Q$27="%w/w SAR",((Q$28*10)*$B31),IF(Q$27="%w/w DM",(((Q$28*10)*($B$28/100))*$B31),IF(Q$27="kg/t SAR",(Q$28*$B31),IF(Q$27="kg/t DM",((Q$28*($B$28/100))*$B31),IF(Q$27="mg/kg SAR",((Q$28*0.001)*$B31),IF(Q$27="mg/kg DM",(((Q$28*0.001)*($B$28/100))*$B31),0)))))))*2.5</f>
        <v>26.75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100</v>
      </c>
      <c r="C32" s="77">
        <f t="shared" ref="C32:C50" si="6">IF(C$27="%w/w SAR",((C$28*10)*$B32),IF(C$27="%w/w DM",(((C$28*10)*($B$28/100))*$B32),IF(C$27="kg/t SAR",(C$28*$B32),IF(C$27="kg/t DM",((C$28*($B$28/100))*$B32),IF(C$27="mg/kg SAR",((C$28*0.001)*$B32),IF(C$27="mg/kg DM",(((C$28*0.001)*($B$28/100))*$B32),0))))))</f>
        <v>190</v>
      </c>
      <c r="D32" s="77">
        <f t="shared" ref="D32:D50" si="7">(IF(D$27="%w/w SAR",((D$28*10)*$B32),IF(D$27="%w/w DM",(((D$28*10)*($B$28/100))*$B32),IF(D$27="kg/t SAR",(D$28*$B32),IF(D$27="kg/t DM",((D$28*($B$28/100))*$B32),IF(D$27="mg/kg SAR",((D$28*0.001)*$B32),IF(D$27="mg/kg DM",(((D$28*0.001)*($B$28/100))*$B32),"0")))))))*2.291</f>
        <v>55.4422</v>
      </c>
      <c r="E32" s="77">
        <f t="shared" ref="E32:E50" si="8">(IF(E$27="%w/w SAR",((E$28*10)*$B32),IF(E$27="%w/w DM",(((E$28*10)*($B$28/100))*$B32),IF(E$27="kg/t SAR",(E$28*$B32),IF(E$27="kg/t DM",((E$28*($B$28/100))*$B32),IF(E$27="mg/kg SAR",((E$28*0.001)*$B32),IF(E$27="mg/kg DM",(((E$28*0.001)*($B$28/100))*$B32),"0")))))))*1.205</f>
        <v>18.436499999999999</v>
      </c>
      <c r="F32" s="77">
        <f t="shared" ref="F32:F50" si="9">(IF(F$27="%w/w SAR",((F$28*10)*$B32),IF(F$27="%w/w DM",(((F$28*10)*($B$28/100))*$B32),IF(F$27="kg/t SAR",(F$28*$B32),IF(F$27="kg/t DM",((F$28*($B$28/100))*$B32),IF(F$27="mg/kg SAR",((F$28*0.001)*$B32),IF(F$27="mg/kg DM",(((F$28*0.001)*($B$28/100))*$B32),"0")))))))*1.658</f>
        <v>4.6424000000000003</v>
      </c>
      <c r="G32" s="77">
        <f t="shared" si="5"/>
        <v>0.25</v>
      </c>
      <c r="H32" s="77">
        <f t="shared" si="5"/>
        <v>0.187</v>
      </c>
      <c r="I32" s="77">
        <f t="shared" si="5"/>
        <v>7.5299999999999992E-2</v>
      </c>
      <c r="J32" s="77">
        <f t="shared" si="5"/>
        <v>1E-3</v>
      </c>
      <c r="K32" s="77">
        <f t="shared" si="5"/>
        <v>5.0000000000000001E-3</v>
      </c>
      <c r="L32" s="77">
        <f t="shared" si="5"/>
        <v>0.02</v>
      </c>
      <c r="M32" s="77">
        <f t="shared" si="5"/>
        <v>3.2300000000000002E-2</v>
      </c>
      <c r="N32" s="77">
        <f t="shared" si="5"/>
        <v>0</v>
      </c>
      <c r="O32" s="77">
        <f t="shared" si="5"/>
        <v>0</v>
      </c>
      <c r="P32" s="77">
        <f t="shared" si="5"/>
        <v>16</v>
      </c>
      <c r="Q32" s="77">
        <f t="shared" ref="Q32:Q50" si="10">(IF(Q$27="%w/w SAR",((Q$28*10)*$B32),IF(Q$27="%w/w DM",(((Q$28*10)*($B$28/100))*$B32),IF(Q$27="kg/t SAR",(Q$28*$B32),IF(Q$27="kg/t DM",((Q$28*($B$28/100))*$B32),IF(Q$27="mg/kg SAR",((Q$28*0.001)*$B32),IF(Q$27="mg/kg DM",(((Q$28*0.001)*($B$28/100))*$B32),0)))))))*2.5</f>
        <v>26.75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190</v>
      </c>
      <c r="D33" s="77">
        <f t="shared" si="7"/>
        <v>55.4422</v>
      </c>
      <c r="E33" s="77">
        <f t="shared" si="8"/>
        <v>18.436499999999999</v>
      </c>
      <c r="F33" s="77">
        <f t="shared" si="9"/>
        <v>4.6424000000000003</v>
      </c>
      <c r="G33" s="77">
        <f t="shared" si="5"/>
        <v>0.25</v>
      </c>
      <c r="H33" s="77">
        <f t="shared" si="5"/>
        <v>0.187</v>
      </c>
      <c r="I33" s="77">
        <f t="shared" si="5"/>
        <v>7.5299999999999992E-2</v>
      </c>
      <c r="J33" s="77">
        <f t="shared" si="5"/>
        <v>1E-3</v>
      </c>
      <c r="K33" s="77">
        <f t="shared" si="5"/>
        <v>5.0000000000000001E-3</v>
      </c>
      <c r="L33" s="77">
        <f t="shared" si="5"/>
        <v>0.02</v>
      </c>
      <c r="M33" s="77">
        <f t="shared" si="5"/>
        <v>3.2300000000000002E-2</v>
      </c>
      <c r="N33" s="77">
        <f t="shared" si="5"/>
        <v>0</v>
      </c>
      <c r="O33" s="77">
        <f t="shared" si="5"/>
        <v>0</v>
      </c>
      <c r="P33" s="77">
        <f t="shared" si="5"/>
        <v>16</v>
      </c>
      <c r="Q33" s="77">
        <f t="shared" si="10"/>
        <v>26.75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190</v>
      </c>
      <c r="D34" s="77">
        <f t="shared" si="7"/>
        <v>55.4422</v>
      </c>
      <c r="E34" s="77">
        <f t="shared" si="8"/>
        <v>18.436499999999999</v>
      </c>
      <c r="F34" s="77">
        <f t="shared" si="9"/>
        <v>4.6424000000000003</v>
      </c>
      <c r="G34" s="77">
        <f t="shared" si="5"/>
        <v>0.25</v>
      </c>
      <c r="H34" s="77">
        <f t="shared" si="5"/>
        <v>0.187</v>
      </c>
      <c r="I34" s="77">
        <f t="shared" si="5"/>
        <v>7.5299999999999992E-2</v>
      </c>
      <c r="J34" s="77">
        <f t="shared" si="5"/>
        <v>1E-3</v>
      </c>
      <c r="K34" s="77">
        <f t="shared" si="5"/>
        <v>5.0000000000000001E-3</v>
      </c>
      <c r="L34" s="77">
        <f t="shared" si="5"/>
        <v>0.02</v>
      </c>
      <c r="M34" s="77">
        <f t="shared" si="5"/>
        <v>3.2300000000000002E-2</v>
      </c>
      <c r="N34" s="77">
        <f t="shared" si="5"/>
        <v>0</v>
      </c>
      <c r="O34" s="77">
        <f t="shared" si="5"/>
        <v>0</v>
      </c>
      <c r="P34" s="77">
        <f t="shared" si="5"/>
        <v>16</v>
      </c>
      <c r="Q34" s="77">
        <f t="shared" si="10"/>
        <v>26.75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100</v>
      </c>
      <c r="C35" s="77">
        <f t="shared" si="6"/>
        <v>190</v>
      </c>
      <c r="D35" s="77">
        <f t="shared" si="7"/>
        <v>55.4422</v>
      </c>
      <c r="E35" s="77">
        <f t="shared" si="8"/>
        <v>18.436499999999999</v>
      </c>
      <c r="F35" s="77">
        <f t="shared" si="9"/>
        <v>4.6424000000000003</v>
      </c>
      <c r="G35" s="77">
        <f t="shared" si="5"/>
        <v>0.25</v>
      </c>
      <c r="H35" s="77">
        <f t="shared" si="5"/>
        <v>0.187</v>
      </c>
      <c r="I35" s="77">
        <f t="shared" si="5"/>
        <v>7.5299999999999992E-2</v>
      </c>
      <c r="J35" s="77">
        <f t="shared" si="5"/>
        <v>1E-3</v>
      </c>
      <c r="K35" s="77">
        <f t="shared" si="5"/>
        <v>5.0000000000000001E-3</v>
      </c>
      <c r="L35" s="77">
        <f t="shared" si="5"/>
        <v>0.02</v>
      </c>
      <c r="M35" s="77">
        <f t="shared" si="5"/>
        <v>3.2300000000000002E-2</v>
      </c>
      <c r="N35" s="77">
        <f t="shared" si="5"/>
        <v>0</v>
      </c>
      <c r="O35" s="77">
        <f t="shared" si="5"/>
        <v>0</v>
      </c>
      <c r="P35" s="77">
        <f t="shared" si="5"/>
        <v>16</v>
      </c>
      <c r="Q35" s="77">
        <f t="shared" si="10"/>
        <v>26.75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190</v>
      </c>
      <c r="D36" s="77">
        <f t="shared" si="7"/>
        <v>55.4422</v>
      </c>
      <c r="E36" s="77">
        <f t="shared" si="8"/>
        <v>18.436499999999999</v>
      </c>
      <c r="F36" s="77">
        <f t="shared" si="9"/>
        <v>4.6424000000000003</v>
      </c>
      <c r="G36" s="77">
        <f t="shared" si="5"/>
        <v>0.25</v>
      </c>
      <c r="H36" s="77">
        <f t="shared" si="5"/>
        <v>0.187</v>
      </c>
      <c r="I36" s="77">
        <f t="shared" si="5"/>
        <v>7.5299999999999992E-2</v>
      </c>
      <c r="J36" s="77">
        <f t="shared" si="5"/>
        <v>1E-3</v>
      </c>
      <c r="K36" s="77">
        <f t="shared" si="5"/>
        <v>5.0000000000000001E-3</v>
      </c>
      <c r="L36" s="77">
        <f t="shared" si="5"/>
        <v>0.02</v>
      </c>
      <c r="M36" s="77">
        <f t="shared" si="5"/>
        <v>3.2300000000000002E-2</v>
      </c>
      <c r="N36" s="77">
        <f t="shared" si="5"/>
        <v>0</v>
      </c>
      <c r="O36" s="77">
        <f t="shared" si="5"/>
        <v>0</v>
      </c>
      <c r="P36" s="77">
        <f t="shared" si="5"/>
        <v>16</v>
      </c>
      <c r="Q36" s="77">
        <f t="shared" si="10"/>
        <v>26.75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190</v>
      </c>
      <c r="D37" s="77">
        <f t="shared" si="7"/>
        <v>55.4422</v>
      </c>
      <c r="E37" s="77">
        <f t="shared" si="8"/>
        <v>18.436499999999999</v>
      </c>
      <c r="F37" s="77">
        <f t="shared" si="9"/>
        <v>4.6424000000000003</v>
      </c>
      <c r="G37" s="77">
        <f t="shared" si="5"/>
        <v>0.25</v>
      </c>
      <c r="H37" s="77">
        <f t="shared" si="5"/>
        <v>0.187</v>
      </c>
      <c r="I37" s="77">
        <f t="shared" si="5"/>
        <v>7.5299999999999992E-2</v>
      </c>
      <c r="J37" s="77">
        <f t="shared" si="5"/>
        <v>1E-3</v>
      </c>
      <c r="K37" s="77">
        <f t="shared" si="5"/>
        <v>5.0000000000000001E-3</v>
      </c>
      <c r="L37" s="77">
        <f t="shared" si="5"/>
        <v>0.02</v>
      </c>
      <c r="M37" s="77">
        <f t="shared" si="5"/>
        <v>3.2300000000000002E-2</v>
      </c>
      <c r="N37" s="77">
        <f t="shared" si="5"/>
        <v>0</v>
      </c>
      <c r="O37" s="77">
        <f t="shared" si="5"/>
        <v>0</v>
      </c>
      <c r="P37" s="77">
        <f t="shared" si="5"/>
        <v>16</v>
      </c>
      <c r="Q37" s="77">
        <f t="shared" si="10"/>
        <v>26.75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100</v>
      </c>
      <c r="C38" s="77">
        <f t="shared" si="6"/>
        <v>190</v>
      </c>
      <c r="D38" s="77">
        <f t="shared" si="7"/>
        <v>55.4422</v>
      </c>
      <c r="E38" s="77">
        <f t="shared" si="8"/>
        <v>18.436499999999999</v>
      </c>
      <c r="F38" s="77">
        <f t="shared" si="9"/>
        <v>4.6424000000000003</v>
      </c>
      <c r="G38" s="77">
        <f t="shared" si="5"/>
        <v>0.25</v>
      </c>
      <c r="H38" s="77">
        <f t="shared" si="5"/>
        <v>0.187</v>
      </c>
      <c r="I38" s="77">
        <f t="shared" si="5"/>
        <v>7.5299999999999992E-2</v>
      </c>
      <c r="J38" s="77">
        <f t="shared" si="5"/>
        <v>1E-3</v>
      </c>
      <c r="K38" s="77">
        <f t="shared" si="5"/>
        <v>5.0000000000000001E-3</v>
      </c>
      <c r="L38" s="77">
        <f t="shared" si="5"/>
        <v>0.02</v>
      </c>
      <c r="M38" s="77">
        <f t="shared" si="5"/>
        <v>3.2300000000000002E-2</v>
      </c>
      <c r="N38" s="77">
        <f t="shared" si="5"/>
        <v>0</v>
      </c>
      <c r="O38" s="77">
        <f t="shared" si="5"/>
        <v>0</v>
      </c>
      <c r="P38" s="77">
        <f t="shared" si="5"/>
        <v>16</v>
      </c>
      <c r="Q38" s="77">
        <f t="shared" si="10"/>
        <v>26.75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Sandy Loam I Arable</v>
      </c>
      <c r="C58" s="13" t="str">
        <f>D16&amp;" I "&amp;(VLOOKUP(D14,Table245810[],6,FALSE))</f>
        <v>Sandy Loam I Grass</v>
      </c>
      <c r="D58" s="13" t="str">
        <f>E16&amp;" I "&amp;(VLOOKUP(E14,Table245810[],6,FALSE))</f>
        <v>Sandy Loam I Grass</v>
      </c>
      <c r="E58" s="13" t="str">
        <f>F16&amp;" I "&amp;(VLOOKUP(F14,Table245810[],6,FALSE))</f>
        <v>Sandy Loam I Grass</v>
      </c>
      <c r="F58" s="13" t="str">
        <f>G16&amp;" I "&amp;(VLOOKUP(G14,Table245810[],6,FALSE))</f>
        <v>Sandy Loam I Arable</v>
      </c>
      <c r="G58" s="13" t="str">
        <f>H16&amp;" I "&amp;(VLOOKUP(H14,Table245810[],6,FALSE))</f>
        <v>Sandy Loam I Arable</v>
      </c>
      <c r="H58" s="13" t="str">
        <f>I16&amp;" I "&amp;(VLOOKUP(I14,Table245810[],6,FALSE))</f>
        <v>Sandy Loam I Arable</v>
      </c>
      <c r="I58" s="13" t="str">
        <f>J16&amp;" I "&amp;(VLOOKUP(J14,Table245810[],6,FALSE))</f>
        <v>Sandy Loam I Arable</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6.2</v>
      </c>
      <c r="D59" s="76">
        <f>VLOOKUP(E$14,Table245810[],5,FALSE)</f>
        <v>6.2</v>
      </c>
      <c r="E59" s="76">
        <f>VLOOKUP(F$14,Table245810[],5,FALSE)</f>
        <v>6.2</v>
      </c>
      <c r="F59" s="76">
        <f>VLOOKUP(G$14,Table245810[],5,FALSE)</f>
        <v>6.7</v>
      </c>
      <c r="G59" s="76">
        <f>VLOOKUP(H$14,Table245810[],5,FALSE)</f>
        <v>6.7</v>
      </c>
      <c r="H59" s="76">
        <f>VLOOKUP(I$14,Table245810[],5,FALSE)</f>
        <v>6.7</v>
      </c>
      <c r="I59" s="76">
        <f>VLOOKUP(J$14,Table245810[],5,FALSE)</f>
        <v>6.7</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100</v>
      </c>
      <c r="H62" s="77">
        <f>B37</f>
        <v>100</v>
      </c>
      <c r="I62" s="77">
        <f>B38</f>
        <v>100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70" zoomScaleNormal="7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PAN-016059</v>
      </c>
      <c r="D1" s="143"/>
      <c r="E1" s="93" t="s">
        <v>45</v>
      </c>
      <c r="F1" s="39">
        <f>Beechdean!F1</f>
        <v>33</v>
      </c>
      <c r="G1" s="125" t="s">
        <v>43</v>
      </c>
      <c r="H1" s="126"/>
      <c r="I1" s="118">
        <v>6.91</v>
      </c>
      <c r="J1" s="129" t="s">
        <v>153</v>
      </c>
      <c r="K1" s="129"/>
      <c r="L1" s="97">
        <v>1176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Beechdean!C2:D2</f>
        <v>KP3594VE</v>
      </c>
      <c r="D2" s="145"/>
      <c r="E2" s="93" t="s">
        <v>109</v>
      </c>
      <c r="F2" s="96" t="s">
        <v>179</v>
      </c>
      <c r="G2" s="127" t="s">
        <v>110</v>
      </c>
      <c r="H2" s="128"/>
      <c r="I2" s="118">
        <v>2115</v>
      </c>
      <c r="J2" s="129" t="s">
        <v>158</v>
      </c>
      <c r="K2" s="129"/>
      <c r="L2" s="97">
        <v>0.41</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Beechdean!C3:D3</f>
        <v>Trade Effluent Services Limited</v>
      </c>
      <c r="D3" s="145"/>
      <c r="E3" s="93" t="s">
        <v>108</v>
      </c>
      <c r="F3" s="31" t="s">
        <v>78</v>
      </c>
      <c r="G3" s="129" t="s">
        <v>159</v>
      </c>
      <c r="H3" s="129"/>
      <c r="I3" s="118">
        <v>4120</v>
      </c>
      <c r="J3" s="125" t="s">
        <v>154</v>
      </c>
      <c r="K3" s="126"/>
      <c r="L3" s="97">
        <f>(L1/(L2*10000))*100</f>
        <v>28.68292682926829</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Beechdean!C4:D4</f>
        <v>Gwysaney Home Farm, Denbigh Road, Mold, CH7 5HE</v>
      </c>
      <c r="D4" s="143"/>
      <c r="E4" s="94" t="s">
        <v>1</v>
      </c>
      <c r="F4" s="96" t="s">
        <v>172</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Beechdean!C5:D5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Beechdean!C8</f>
        <v>1</v>
      </c>
      <c r="D8" s="60">
        <f>Beechdean!D8</f>
        <v>2</v>
      </c>
      <c r="E8" s="60">
        <f>Beechdean!E8</f>
        <v>3</v>
      </c>
      <c r="F8" s="60">
        <f>Beechdean!F8</f>
        <v>4</v>
      </c>
      <c r="G8" s="60">
        <f>Beechdean!G8</f>
        <v>5</v>
      </c>
      <c r="H8" s="60">
        <f>Beechdean!H8</f>
        <v>6</v>
      </c>
      <c r="I8" s="60">
        <f>Beechdean!I8</f>
        <v>7</v>
      </c>
      <c r="J8" s="60">
        <f>Beechdean!J8</f>
        <v>8</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Beechdean!C9</f>
        <v>1</v>
      </c>
      <c r="D9" s="60" t="str">
        <f>Beechdean!D9</f>
        <v>Moderate</v>
      </c>
      <c r="E9" s="60" t="str">
        <f>Beechdean!E9</f>
        <v>Moderate</v>
      </c>
      <c r="F9" s="60" t="str">
        <f>Beechdean!F9</f>
        <v>Moderate</v>
      </c>
      <c r="G9" s="60">
        <f>Beechdean!G9</f>
        <v>1</v>
      </c>
      <c r="H9" s="60">
        <f>Beechdean!H9</f>
        <v>1</v>
      </c>
      <c r="I9" s="60">
        <f>Beechdean!I9</f>
        <v>1</v>
      </c>
      <c r="J9" s="60">
        <f>Beechdean!J9</f>
        <v>1</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Beechdean!C10</f>
        <v>6.7</v>
      </c>
      <c r="D10" s="60">
        <f>Beechdean!D10</f>
        <v>6.6</v>
      </c>
      <c r="E10" s="60">
        <f>Beechdean!E10</f>
        <v>6.9</v>
      </c>
      <c r="F10" s="60">
        <f>Beechdean!F10</f>
        <v>6.3</v>
      </c>
      <c r="G10" s="60">
        <f>Beechdean!G10</f>
        <v>6.5</v>
      </c>
      <c r="H10" s="60">
        <f>Beechdean!H10</f>
        <v>6.8</v>
      </c>
      <c r="I10" s="60">
        <f>Beechdean!I10</f>
        <v>6.6</v>
      </c>
      <c r="J10" s="60">
        <f>Beechdean!J10</f>
        <v>7.2</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Beechdean!C11</f>
        <v>1</v>
      </c>
      <c r="D11" s="60">
        <f>Beechdean!D11</f>
        <v>1</v>
      </c>
      <c r="E11" s="60">
        <f>Beechdean!E11</f>
        <v>1</v>
      </c>
      <c r="F11" s="60">
        <f>Beechdean!F11</f>
        <v>1</v>
      </c>
      <c r="G11" s="60">
        <f>Beechdean!G11</f>
        <v>1</v>
      </c>
      <c r="H11" s="60">
        <f>Beechdean!H11</f>
        <v>3</v>
      </c>
      <c r="I11" s="60">
        <f>Beechdean!I11</f>
        <v>3</v>
      </c>
      <c r="J11" s="60">
        <f>Beechdean!J11</f>
        <v>1</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Beechdean!C12</f>
        <v>1</v>
      </c>
      <c r="D12" s="60">
        <f>Beechdean!D12</f>
        <v>1</v>
      </c>
      <c r="E12" s="60">
        <f>Beechdean!E12</f>
        <v>1</v>
      </c>
      <c r="F12" s="60">
        <f>Beechdean!F12</f>
        <v>1</v>
      </c>
      <c r="G12" s="60">
        <f>Beechdean!G12</f>
        <v>1</v>
      </c>
      <c r="H12" s="60">
        <f>Beechdean!H12</f>
        <v>1</v>
      </c>
      <c r="I12" s="60">
        <f>Beechdean!I12</f>
        <v>1</v>
      </c>
      <c r="J12" s="60">
        <f>Beechdean!J12</f>
        <v>1</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Beechdean!C13</f>
        <v>1</v>
      </c>
      <c r="D13" s="60">
        <f>Beechdean!D13</f>
        <v>1</v>
      </c>
      <c r="E13" s="60">
        <f>Beechdean!E13</f>
        <v>1</v>
      </c>
      <c r="F13" s="60">
        <f>Beechdean!F13</f>
        <v>1</v>
      </c>
      <c r="G13" s="60">
        <f>Beechdean!G13</f>
        <v>1</v>
      </c>
      <c r="H13" s="60">
        <f>Beechdean!H13</f>
        <v>1</v>
      </c>
      <c r="I13" s="60">
        <f>Beechdean!I13</f>
        <v>1</v>
      </c>
      <c r="J13" s="60">
        <f>Beechdean!J13</f>
        <v>1</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Beechdean!C14</f>
        <v>Maize- Silage (30% DM)</v>
      </c>
      <c r="D14" s="102" t="str">
        <f>Beechdean!D14</f>
        <v xml:space="preserve">Grass Silage (25% DM) </v>
      </c>
      <c r="E14" s="102" t="str">
        <f>Beechdean!E14</f>
        <v xml:space="preserve">Grass Silage (25% DM) </v>
      </c>
      <c r="F14" s="102" t="str">
        <f>Beechdean!F14</f>
        <v xml:space="preserve">Grass Silage (25% DM) </v>
      </c>
      <c r="G14" s="102" t="str">
        <f>Beechdean!G14</f>
        <v>Maize- Silage (30% DM)</v>
      </c>
      <c r="H14" s="102" t="str">
        <f>Beechdean!H14</f>
        <v xml:space="preserve">Winter wheat- grain only </v>
      </c>
      <c r="I14" s="102" t="str">
        <f>Beechdean!I14</f>
        <v xml:space="preserve">Winter wheat- grain only </v>
      </c>
      <c r="J14" s="102" t="str">
        <f>Beechdean!J14</f>
        <v xml:space="preserve">Winter wheat- grain only </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7" t="s">
        <v>9</v>
      </c>
      <c r="B15" s="137"/>
      <c r="C15" s="60">
        <f>Beechdean!C15</f>
        <v>40</v>
      </c>
      <c r="D15" s="60">
        <f>Beechdean!D15</f>
        <v>38</v>
      </c>
      <c r="E15" s="60">
        <f>Beechdean!E15</f>
        <v>38</v>
      </c>
      <c r="F15" s="60">
        <f>Beechdean!F15</f>
        <v>38</v>
      </c>
      <c r="G15" s="60">
        <f>Beechdean!G15</f>
        <v>40</v>
      </c>
      <c r="H15" s="60">
        <f>Beechdean!H15</f>
        <v>8</v>
      </c>
      <c r="I15" s="60">
        <f>Beechdean!I15</f>
        <v>8</v>
      </c>
      <c r="J15" s="60">
        <f>Beechdean!J15</f>
        <v>8</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Beechdean!C16</f>
        <v>Sandy Loam</v>
      </c>
      <c r="D16" s="103" t="str">
        <f>Beechdean!D16</f>
        <v>Sandy Loam</v>
      </c>
      <c r="E16" s="103" t="str">
        <f>Beechdean!E16</f>
        <v>Sandy Loam</v>
      </c>
      <c r="F16" s="103" t="str">
        <f>Beechdean!F16</f>
        <v>Sandy Loam</v>
      </c>
      <c r="G16" s="103" t="str">
        <f>Beechdean!G16</f>
        <v>Sandy Loam</v>
      </c>
      <c r="H16" s="103" t="str">
        <f>Beechdean!H16</f>
        <v>Sandy Loam</v>
      </c>
      <c r="I16" s="103" t="str">
        <f>Beechdean!I16</f>
        <v>Sandy Loam</v>
      </c>
      <c r="J16" s="103" t="str">
        <f>Beechdean!J16</f>
        <v>Sandy Loam</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53.957631999999997</v>
      </c>
      <c r="D18" s="16">
        <f>$D32</f>
        <v>53.957631999999997</v>
      </c>
      <c r="E18" s="16">
        <f>$D33</f>
        <v>53.957631999999997</v>
      </c>
      <c r="F18" s="16">
        <f>$D34</f>
        <v>53.957631999999997</v>
      </c>
      <c r="G18" s="16">
        <f>$D35</f>
        <v>53.957631999999997</v>
      </c>
      <c r="H18" s="16">
        <f>$D36</f>
        <v>53.957631999999997</v>
      </c>
      <c r="I18" s="16">
        <f>$D37</f>
        <v>53.957631999999997</v>
      </c>
      <c r="J18" s="16">
        <f>$D38</f>
        <v>53.957631999999997</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-2.0423680000000033</v>
      </c>
      <c r="D19" s="16">
        <f t="shared" ref="D19:V19" si="1">D18-D17</f>
        <v>-10.642367999999998</v>
      </c>
      <c r="E19" s="16">
        <f t="shared" si="1"/>
        <v>-10.642367999999998</v>
      </c>
      <c r="F19" s="16">
        <f t="shared" si="1"/>
        <v>-10.642367999999998</v>
      </c>
      <c r="G19" s="16">
        <f t="shared" si="1"/>
        <v>-2.0423680000000033</v>
      </c>
      <c r="H19" s="16">
        <f t="shared" si="1"/>
        <v>1.9576319999999967</v>
      </c>
      <c r="I19" s="16">
        <f t="shared" si="1"/>
        <v>1.9576319999999967</v>
      </c>
      <c r="J19" s="16">
        <f t="shared" si="1"/>
        <v>1.9576319999999967</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8.6760000000000002</v>
      </c>
      <c r="D22" s="16">
        <f>$E32</f>
        <v>8.6760000000000002</v>
      </c>
      <c r="E22" s="16">
        <f>$E33</f>
        <v>8.6760000000000002</v>
      </c>
      <c r="F22" s="16">
        <f>$E34</f>
        <v>8.6760000000000002</v>
      </c>
      <c r="G22" s="16">
        <f>$E35</f>
        <v>8.6760000000000002</v>
      </c>
      <c r="H22" s="16">
        <f>$E36</f>
        <v>8.6760000000000002</v>
      </c>
      <c r="I22" s="16">
        <f>$E37</f>
        <v>8.6760000000000002</v>
      </c>
      <c r="J22" s="16">
        <f>$E38</f>
        <v>8.6760000000000002</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-167.32400000000001</v>
      </c>
      <c r="D23" s="16">
        <f t="shared" ref="D23:V23" si="3">D22-D21</f>
        <v>-219.32400000000001</v>
      </c>
      <c r="E23" s="16">
        <f t="shared" si="3"/>
        <v>-219.32400000000001</v>
      </c>
      <c r="F23" s="16">
        <f t="shared" si="3"/>
        <v>-219.32400000000001</v>
      </c>
      <c r="G23" s="16">
        <f t="shared" si="3"/>
        <v>-167.32400000000001</v>
      </c>
      <c r="H23" s="16">
        <f t="shared" si="3"/>
        <v>-35.323999999999998</v>
      </c>
      <c r="I23" s="16">
        <f t="shared" si="3"/>
        <v>-35.323999999999998</v>
      </c>
      <c r="J23" s="16">
        <f t="shared" si="3"/>
        <v>-35.323999999999998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5.23</v>
      </c>
      <c r="C28" s="15">
        <v>0.41</v>
      </c>
      <c r="D28" s="15">
        <v>736</v>
      </c>
      <c r="E28" s="15">
        <v>225</v>
      </c>
      <c r="F28" s="15">
        <v>186</v>
      </c>
      <c r="G28" s="15">
        <v>3.53</v>
      </c>
      <c r="H28" s="15">
        <v>20.399999999999999</v>
      </c>
      <c r="I28" s="15">
        <v>0.5</v>
      </c>
      <c r="J28" s="15">
        <v>1.2E-2</v>
      </c>
      <c r="K28" s="23">
        <v>0.05</v>
      </c>
      <c r="L28" s="15">
        <v>0.67400000000000004</v>
      </c>
      <c r="M28" s="15">
        <v>1.42</v>
      </c>
      <c r="N28" s="15"/>
      <c r="O28" s="15"/>
      <c r="P28" s="15">
        <v>627</v>
      </c>
      <c r="Q28" s="15">
        <v>474</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32</v>
      </c>
      <c r="C31" s="77">
        <f>IF(C$27="%w/w SAR",((C$28*10)*$B31),IF(C$27="%w/w DM",(((C$28*10)*($B$28/100))*$B31),IF(C$27="kg/t SAR",(C$28*$B31),IF(C$27="kg/t DM",((C$28*($B$28/100))*$B31),IF(C$27="mg/kg SAR",((C$28*0.001)*$B31),IF(C$27="mg/kg DM",(((C$28*0.001)*($B$28/100))*$B31),0))))))</f>
        <v>131.19999999999999</v>
      </c>
      <c r="D31" s="77">
        <f>(IF(D$27="%w/w SAR",((D$28*10)*$B31),IF(D$27="%w/w DM",(((D$28*10)*($B$28/100))*$B31),IF(D$27="kg/t SAR",(D$28*$B31),IF(D$27="kg/t DM",((D$28*($B$28/100))*$B31),IF(D$27="mg/kg SAR",((D$28*0.001)*$B31),IF(D$27="mg/kg DM",(((D$28*0.001)*($B$28/100))*$B31),"0")))))))*2.291</f>
        <v>53.957631999999997</v>
      </c>
      <c r="E31" s="77">
        <f>(IF(E$27="%w/w SAR",((E$28*10)*$B31),IF(E$27="%w/w DM",(((E$28*10)*($B$28/100))*$B31),IF(E$27="kg/t SAR",(E$28*$B31),IF(E$27="kg/t DM",((E$28*($B$28/100))*$B31),IF(E$27="mg/kg SAR",((E$28*0.001)*$B31),IF(E$27="mg/kg DM",(((E$28*0.001)*($B$28/100))*$B31),"0")))))))*1.205</f>
        <v>8.6760000000000002</v>
      </c>
      <c r="F31" s="77">
        <f>(IF(F$27="%w/w SAR",((F$28*10)*$B31),IF(F$27="%w/w DM",(((F$28*10)*($B$28/100))*$B31),IF(F$27="kg/t SAR",(F$28*$B31),IF(F$27="kg/t DM",((F$28*($B$28/100))*$B31),IF(F$27="mg/kg SAR",((F$28*0.001)*$B31),IF(F$27="mg/kg DM",(((F$28*0.001)*($B$28/100))*$B31),"0")))))))*1.658</f>
        <v>9.8684159999999999</v>
      </c>
      <c r="G31" s="77">
        <f t="shared" ref="G31:P46" si="5">IF(G$27="%w/w SAR",((G$28*10)*$B31),IF(G$27="%w/w DM",(((G$28*10)*($B$28/100))*$B31),IF(G$27="kg/t SAR",(G$28*$B31),IF(G$27="kg/t DM",((G$28*($B$28/100))*$B31),IF(G$27="mg/kg SAR",((G$28*0.001)*$B31),IF(G$27="mg/kg DM",(((G$28*0.001)*($B$28/100))*$B31),0))))))</f>
        <v>0.11295999999999999</v>
      </c>
      <c r="H31" s="77">
        <f t="shared" si="5"/>
        <v>0.65279999999999994</v>
      </c>
      <c r="I31" s="77">
        <f t="shared" si="5"/>
        <v>1.6E-2</v>
      </c>
      <c r="J31" s="77">
        <f t="shared" si="5"/>
        <v>3.8400000000000001E-4</v>
      </c>
      <c r="K31" s="77">
        <f t="shared" si="5"/>
        <v>1.6000000000000001E-3</v>
      </c>
      <c r="L31" s="77">
        <f t="shared" si="5"/>
        <v>2.1568E-2</v>
      </c>
      <c r="M31" s="77">
        <f t="shared" si="5"/>
        <v>4.5440000000000001E-2</v>
      </c>
      <c r="N31" s="77">
        <f t="shared" si="5"/>
        <v>0</v>
      </c>
      <c r="O31" s="77">
        <f t="shared" si="5"/>
        <v>0</v>
      </c>
      <c r="P31" s="77">
        <f t="shared" si="5"/>
        <v>20.064</v>
      </c>
      <c r="Q31" s="77">
        <f>(IF(Q$27="%w/w SAR",((Q$28*10)*$B31),IF(Q$27="%w/w DM",(((Q$28*10)*($B$28/100))*$B31),IF(Q$27="kg/t SAR",(Q$28*$B31),IF(Q$27="kg/t DM",((Q$28*($B$28/100))*$B31),IF(Q$27="mg/kg SAR",((Q$28*0.001)*$B31),IF(Q$27="mg/kg DM",(((Q$28*0.001)*($B$28/100))*$B31),0)))))))*2.5</f>
        <v>37.92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32</v>
      </c>
      <c r="C32" s="77">
        <f t="shared" ref="C32:C50" si="6">IF(C$27="%w/w SAR",((C$28*10)*$B32),IF(C$27="%w/w DM",(((C$28*10)*($B$28/100))*$B32),IF(C$27="kg/t SAR",(C$28*$B32),IF(C$27="kg/t DM",((C$28*($B$28/100))*$B32),IF(C$27="mg/kg SAR",((C$28*0.001)*$B32),IF(C$27="mg/kg DM",(((C$28*0.001)*($B$28/100))*$B32),0))))))</f>
        <v>131.19999999999999</v>
      </c>
      <c r="D32" s="77">
        <f t="shared" ref="D32:D50" si="7">(IF(D$27="%w/w SAR",((D$28*10)*$B32),IF(D$27="%w/w DM",(((D$28*10)*($B$28/100))*$B32),IF(D$27="kg/t SAR",(D$28*$B32),IF(D$27="kg/t DM",((D$28*($B$28/100))*$B32),IF(D$27="mg/kg SAR",((D$28*0.001)*$B32),IF(D$27="mg/kg DM",(((D$28*0.001)*($B$28/100))*$B32),"0")))))))*2.291</f>
        <v>53.957631999999997</v>
      </c>
      <c r="E32" s="77">
        <f t="shared" ref="E32:E50" si="8">(IF(E$27="%w/w SAR",((E$28*10)*$B32),IF(E$27="%w/w DM",(((E$28*10)*($B$28/100))*$B32),IF(E$27="kg/t SAR",(E$28*$B32),IF(E$27="kg/t DM",((E$28*($B$28/100))*$B32),IF(E$27="mg/kg SAR",((E$28*0.001)*$B32),IF(E$27="mg/kg DM",(((E$28*0.001)*($B$28/100))*$B32),"0")))))))*1.205</f>
        <v>8.6760000000000002</v>
      </c>
      <c r="F32" s="77">
        <f t="shared" ref="F32:F50" si="9">(IF(F$27="%w/w SAR",((F$28*10)*$B32),IF(F$27="%w/w DM",(((F$28*10)*($B$28/100))*$B32),IF(F$27="kg/t SAR",(F$28*$B32),IF(F$27="kg/t DM",((F$28*($B$28/100))*$B32),IF(F$27="mg/kg SAR",((F$28*0.001)*$B32),IF(F$27="mg/kg DM",(((F$28*0.001)*($B$28/100))*$B32),"0")))))))*1.658</f>
        <v>9.8684159999999999</v>
      </c>
      <c r="G32" s="77">
        <f t="shared" si="5"/>
        <v>0.11295999999999999</v>
      </c>
      <c r="H32" s="77">
        <f t="shared" si="5"/>
        <v>0.65279999999999994</v>
      </c>
      <c r="I32" s="77">
        <f t="shared" si="5"/>
        <v>1.6E-2</v>
      </c>
      <c r="J32" s="77">
        <f t="shared" si="5"/>
        <v>3.8400000000000001E-4</v>
      </c>
      <c r="K32" s="77">
        <f t="shared" si="5"/>
        <v>1.6000000000000001E-3</v>
      </c>
      <c r="L32" s="77">
        <f t="shared" si="5"/>
        <v>2.1568E-2</v>
      </c>
      <c r="M32" s="77">
        <f t="shared" si="5"/>
        <v>4.5440000000000001E-2</v>
      </c>
      <c r="N32" s="77">
        <f t="shared" si="5"/>
        <v>0</v>
      </c>
      <c r="O32" s="77">
        <f t="shared" si="5"/>
        <v>0</v>
      </c>
      <c r="P32" s="77">
        <f t="shared" si="5"/>
        <v>20.064</v>
      </c>
      <c r="Q32" s="77">
        <f t="shared" ref="Q32:Q50" si="10">(IF(Q$27="%w/w SAR",((Q$28*10)*$B32),IF(Q$27="%w/w DM",(((Q$28*10)*($B$28/100))*$B32),IF(Q$27="kg/t SAR",(Q$28*$B32),IF(Q$27="kg/t DM",((Q$28*($B$28/100))*$B32),IF(Q$27="mg/kg SAR",((Q$28*0.001)*$B32),IF(Q$27="mg/kg DM",(((Q$28*0.001)*($B$28/100))*$B32),0)))))))*2.5</f>
        <v>37.92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32</v>
      </c>
      <c r="C33" s="77">
        <f t="shared" si="6"/>
        <v>131.19999999999999</v>
      </c>
      <c r="D33" s="77">
        <f t="shared" si="7"/>
        <v>53.957631999999997</v>
      </c>
      <c r="E33" s="77">
        <f t="shared" si="8"/>
        <v>8.6760000000000002</v>
      </c>
      <c r="F33" s="77">
        <f t="shared" si="9"/>
        <v>9.8684159999999999</v>
      </c>
      <c r="G33" s="77">
        <f t="shared" si="5"/>
        <v>0.11295999999999999</v>
      </c>
      <c r="H33" s="77">
        <f t="shared" si="5"/>
        <v>0.65279999999999994</v>
      </c>
      <c r="I33" s="77">
        <f t="shared" si="5"/>
        <v>1.6E-2</v>
      </c>
      <c r="J33" s="77">
        <f t="shared" si="5"/>
        <v>3.8400000000000001E-4</v>
      </c>
      <c r="K33" s="77">
        <f t="shared" si="5"/>
        <v>1.6000000000000001E-3</v>
      </c>
      <c r="L33" s="77">
        <f t="shared" si="5"/>
        <v>2.1568E-2</v>
      </c>
      <c r="M33" s="77">
        <f t="shared" si="5"/>
        <v>4.5440000000000001E-2</v>
      </c>
      <c r="N33" s="77">
        <f t="shared" si="5"/>
        <v>0</v>
      </c>
      <c r="O33" s="77">
        <f t="shared" si="5"/>
        <v>0</v>
      </c>
      <c r="P33" s="77">
        <f t="shared" si="5"/>
        <v>20.064</v>
      </c>
      <c r="Q33" s="77">
        <f t="shared" si="10"/>
        <v>37.92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32</v>
      </c>
      <c r="C34" s="77">
        <f t="shared" si="6"/>
        <v>131.19999999999999</v>
      </c>
      <c r="D34" s="77">
        <f t="shared" si="7"/>
        <v>53.957631999999997</v>
      </c>
      <c r="E34" s="77">
        <f t="shared" si="8"/>
        <v>8.6760000000000002</v>
      </c>
      <c r="F34" s="77">
        <f t="shared" si="9"/>
        <v>9.8684159999999999</v>
      </c>
      <c r="G34" s="77">
        <f t="shared" si="5"/>
        <v>0.11295999999999999</v>
      </c>
      <c r="H34" s="77">
        <f t="shared" si="5"/>
        <v>0.65279999999999994</v>
      </c>
      <c r="I34" s="77">
        <f t="shared" si="5"/>
        <v>1.6E-2</v>
      </c>
      <c r="J34" s="77">
        <f t="shared" si="5"/>
        <v>3.8400000000000001E-4</v>
      </c>
      <c r="K34" s="77">
        <f t="shared" si="5"/>
        <v>1.6000000000000001E-3</v>
      </c>
      <c r="L34" s="77">
        <f t="shared" si="5"/>
        <v>2.1568E-2</v>
      </c>
      <c r="M34" s="77">
        <f t="shared" si="5"/>
        <v>4.5440000000000001E-2</v>
      </c>
      <c r="N34" s="77">
        <f t="shared" si="5"/>
        <v>0</v>
      </c>
      <c r="O34" s="77">
        <f t="shared" si="5"/>
        <v>0</v>
      </c>
      <c r="P34" s="77">
        <f t="shared" si="5"/>
        <v>20.064</v>
      </c>
      <c r="Q34" s="77">
        <f t="shared" si="10"/>
        <v>37.92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32</v>
      </c>
      <c r="C35" s="77">
        <f t="shared" si="6"/>
        <v>131.19999999999999</v>
      </c>
      <c r="D35" s="77">
        <f t="shared" si="7"/>
        <v>53.957631999999997</v>
      </c>
      <c r="E35" s="77">
        <f t="shared" si="8"/>
        <v>8.6760000000000002</v>
      </c>
      <c r="F35" s="77">
        <f t="shared" si="9"/>
        <v>9.8684159999999999</v>
      </c>
      <c r="G35" s="77">
        <f t="shared" si="5"/>
        <v>0.11295999999999999</v>
      </c>
      <c r="H35" s="77">
        <f t="shared" si="5"/>
        <v>0.65279999999999994</v>
      </c>
      <c r="I35" s="77">
        <f t="shared" si="5"/>
        <v>1.6E-2</v>
      </c>
      <c r="J35" s="77">
        <f t="shared" si="5"/>
        <v>3.8400000000000001E-4</v>
      </c>
      <c r="K35" s="77">
        <f t="shared" si="5"/>
        <v>1.6000000000000001E-3</v>
      </c>
      <c r="L35" s="77">
        <f t="shared" si="5"/>
        <v>2.1568E-2</v>
      </c>
      <c r="M35" s="77">
        <f t="shared" si="5"/>
        <v>4.5440000000000001E-2</v>
      </c>
      <c r="N35" s="77">
        <f t="shared" si="5"/>
        <v>0</v>
      </c>
      <c r="O35" s="77">
        <f t="shared" si="5"/>
        <v>0</v>
      </c>
      <c r="P35" s="77">
        <f t="shared" si="5"/>
        <v>20.064</v>
      </c>
      <c r="Q35" s="77">
        <f t="shared" si="10"/>
        <v>37.92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32</v>
      </c>
      <c r="C36" s="77">
        <f t="shared" si="6"/>
        <v>131.19999999999999</v>
      </c>
      <c r="D36" s="77">
        <f t="shared" si="7"/>
        <v>53.957631999999997</v>
      </c>
      <c r="E36" s="77">
        <f t="shared" si="8"/>
        <v>8.6760000000000002</v>
      </c>
      <c r="F36" s="77">
        <f t="shared" si="9"/>
        <v>9.8684159999999999</v>
      </c>
      <c r="G36" s="77">
        <f t="shared" si="5"/>
        <v>0.11295999999999999</v>
      </c>
      <c r="H36" s="77">
        <f t="shared" si="5"/>
        <v>0.65279999999999994</v>
      </c>
      <c r="I36" s="77">
        <f t="shared" si="5"/>
        <v>1.6E-2</v>
      </c>
      <c r="J36" s="77">
        <f t="shared" si="5"/>
        <v>3.8400000000000001E-4</v>
      </c>
      <c r="K36" s="77">
        <f t="shared" si="5"/>
        <v>1.6000000000000001E-3</v>
      </c>
      <c r="L36" s="77">
        <f t="shared" si="5"/>
        <v>2.1568E-2</v>
      </c>
      <c r="M36" s="77">
        <f t="shared" si="5"/>
        <v>4.5440000000000001E-2</v>
      </c>
      <c r="N36" s="77">
        <f t="shared" si="5"/>
        <v>0</v>
      </c>
      <c r="O36" s="77">
        <f t="shared" si="5"/>
        <v>0</v>
      </c>
      <c r="P36" s="77">
        <f t="shared" si="5"/>
        <v>20.064</v>
      </c>
      <c r="Q36" s="77">
        <f t="shared" si="10"/>
        <v>37.92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32</v>
      </c>
      <c r="C37" s="77">
        <f t="shared" si="6"/>
        <v>131.19999999999999</v>
      </c>
      <c r="D37" s="77">
        <f t="shared" si="7"/>
        <v>53.957631999999997</v>
      </c>
      <c r="E37" s="77">
        <f t="shared" si="8"/>
        <v>8.6760000000000002</v>
      </c>
      <c r="F37" s="77">
        <f t="shared" si="9"/>
        <v>9.8684159999999999</v>
      </c>
      <c r="G37" s="77">
        <f t="shared" si="5"/>
        <v>0.11295999999999999</v>
      </c>
      <c r="H37" s="77">
        <f t="shared" si="5"/>
        <v>0.65279999999999994</v>
      </c>
      <c r="I37" s="77">
        <f t="shared" si="5"/>
        <v>1.6E-2</v>
      </c>
      <c r="J37" s="77">
        <f t="shared" si="5"/>
        <v>3.8400000000000001E-4</v>
      </c>
      <c r="K37" s="77">
        <f t="shared" si="5"/>
        <v>1.6000000000000001E-3</v>
      </c>
      <c r="L37" s="77">
        <f t="shared" si="5"/>
        <v>2.1568E-2</v>
      </c>
      <c r="M37" s="77">
        <f t="shared" si="5"/>
        <v>4.5440000000000001E-2</v>
      </c>
      <c r="N37" s="77">
        <f t="shared" si="5"/>
        <v>0</v>
      </c>
      <c r="O37" s="77">
        <f t="shared" si="5"/>
        <v>0</v>
      </c>
      <c r="P37" s="77">
        <f t="shared" si="5"/>
        <v>20.064</v>
      </c>
      <c r="Q37" s="77">
        <f t="shared" si="10"/>
        <v>37.92</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32</v>
      </c>
      <c r="C38" s="77">
        <f t="shared" si="6"/>
        <v>131.19999999999999</v>
      </c>
      <c r="D38" s="77">
        <f t="shared" si="7"/>
        <v>53.957631999999997</v>
      </c>
      <c r="E38" s="77">
        <f t="shared" si="8"/>
        <v>8.6760000000000002</v>
      </c>
      <c r="F38" s="77">
        <f t="shared" si="9"/>
        <v>9.8684159999999999</v>
      </c>
      <c r="G38" s="77">
        <f t="shared" si="5"/>
        <v>0.11295999999999999</v>
      </c>
      <c r="H38" s="77">
        <f t="shared" si="5"/>
        <v>0.65279999999999994</v>
      </c>
      <c r="I38" s="77">
        <f t="shared" si="5"/>
        <v>1.6E-2</v>
      </c>
      <c r="J38" s="77">
        <f t="shared" si="5"/>
        <v>3.8400000000000001E-4</v>
      </c>
      <c r="K38" s="77">
        <f t="shared" si="5"/>
        <v>1.6000000000000001E-3</v>
      </c>
      <c r="L38" s="77">
        <f t="shared" si="5"/>
        <v>2.1568E-2</v>
      </c>
      <c r="M38" s="77">
        <f t="shared" si="5"/>
        <v>4.5440000000000001E-2</v>
      </c>
      <c r="N38" s="77">
        <f t="shared" si="5"/>
        <v>0</v>
      </c>
      <c r="O38" s="77">
        <f t="shared" si="5"/>
        <v>0</v>
      </c>
      <c r="P38" s="77">
        <f t="shared" si="5"/>
        <v>20.064</v>
      </c>
      <c r="Q38" s="77">
        <f t="shared" si="10"/>
        <v>37.92</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Sandy Loam I Arable</v>
      </c>
      <c r="C58" s="13" t="str">
        <f>D16&amp;" I "&amp;(VLOOKUP(D14,Table2458[],6,FALSE))</f>
        <v>Sandy Loam I Grass</v>
      </c>
      <c r="D58" s="13" t="str">
        <f>E16&amp;" I "&amp;(VLOOKUP(E14,Table2458[],6,FALSE))</f>
        <v>Sandy Loam I Grass</v>
      </c>
      <c r="E58" s="13" t="str">
        <f>F16&amp;" I "&amp;(VLOOKUP(F14,Table2458[],6,FALSE))</f>
        <v>Sandy Loam I Grass</v>
      </c>
      <c r="F58" s="13" t="str">
        <f>G16&amp;" I "&amp;(VLOOKUP(G14,Table2458[],6,FALSE))</f>
        <v>Sandy Loam I Arable</v>
      </c>
      <c r="G58" s="13" t="str">
        <f>H16&amp;" I "&amp;(VLOOKUP(H14,Table2458[],6,FALSE))</f>
        <v>Sandy Loam I Arable</v>
      </c>
      <c r="H58" s="13" t="str">
        <f>I16&amp;" I "&amp;(VLOOKUP(I14,Table2458[],6,FALSE))</f>
        <v>Sandy Loam I Arable</v>
      </c>
      <c r="I58" s="13" t="str">
        <f>J16&amp;" I "&amp;(VLOOKUP(J14,Table2458[],6,FALSE))</f>
        <v>Sandy Loam I Arable</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6.2</v>
      </c>
      <c r="D59" s="76">
        <f>VLOOKUP(E$14,Table2458[],5,FALSE)</f>
        <v>6.2</v>
      </c>
      <c r="E59" s="76">
        <f>VLOOKUP(F$14,Table2458[],5,FALSE)</f>
        <v>6.2</v>
      </c>
      <c r="F59" s="76">
        <f>VLOOKUP(G$14,Table2458[],5,FALSE)</f>
        <v>6.7</v>
      </c>
      <c r="G59" s="76">
        <f>VLOOKUP(H$14,Table2458[],5,FALSE)</f>
        <v>6.7</v>
      </c>
      <c r="H59" s="76">
        <f>VLOOKUP(I$14,Table2458[],5,FALSE)</f>
        <v>6.7</v>
      </c>
      <c r="I59" s="76">
        <f>VLOOKUP(J$14,Table2458[],5,FALSE)</f>
        <v>6.7</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32</v>
      </c>
      <c r="C62" s="77">
        <f>B32</f>
        <v>32</v>
      </c>
      <c r="D62" s="77">
        <f>B33</f>
        <v>32</v>
      </c>
      <c r="E62" s="77">
        <f>B34</f>
        <v>32</v>
      </c>
      <c r="F62" s="77">
        <f>B35</f>
        <v>32</v>
      </c>
      <c r="G62" s="77">
        <f>B36</f>
        <v>32</v>
      </c>
      <c r="H62" s="77">
        <f>B37</f>
        <v>32</v>
      </c>
      <c r="I62" s="77">
        <f>B38</f>
        <v>32</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D1" zoomScale="70" zoomScaleNormal="7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PAN-016059</v>
      </c>
      <c r="D1" s="143"/>
      <c r="E1" s="93" t="s">
        <v>45</v>
      </c>
      <c r="F1" s="39">
        <f>Beechdean!F1</f>
        <v>33</v>
      </c>
      <c r="G1" s="125" t="s">
        <v>43</v>
      </c>
      <c r="H1" s="126"/>
      <c r="I1" s="118">
        <v>4.17</v>
      </c>
      <c r="J1" s="129" t="s">
        <v>153</v>
      </c>
      <c r="K1" s="12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Beechdean!C2:D2</f>
        <v>KP3594VE</v>
      </c>
      <c r="D2" s="145"/>
      <c r="E2" s="93" t="s">
        <v>109</v>
      </c>
      <c r="F2" s="96" t="s">
        <v>181</v>
      </c>
      <c r="G2" s="127" t="s">
        <v>110</v>
      </c>
      <c r="H2" s="128"/>
      <c r="I2" s="118">
        <v>1.55</v>
      </c>
      <c r="J2" s="129" t="s">
        <v>158</v>
      </c>
      <c r="K2" s="129"/>
      <c r="L2" s="97">
        <v>0.03</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Beechdean!C3:D3</f>
        <v>Trade Effluent Services Limited</v>
      </c>
      <c r="D3" s="145"/>
      <c r="E3" s="93" t="s">
        <v>108</v>
      </c>
      <c r="F3" s="31" t="s">
        <v>77</v>
      </c>
      <c r="G3" s="129" t="s">
        <v>159</v>
      </c>
      <c r="H3" s="129"/>
      <c r="I3" s="118">
        <v>4080</v>
      </c>
      <c r="J3" s="125" t="s">
        <v>154</v>
      </c>
      <c r="K3" s="126"/>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Beechdean!C4:D4</f>
        <v>Gwysaney Home Farm, Denbigh Road, Mold, CH7 5HE</v>
      </c>
      <c r="D4" s="143"/>
      <c r="E4" s="94" t="s">
        <v>1</v>
      </c>
      <c r="F4" s="96" t="s">
        <v>173</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Beechdean!C5:D5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Beechdean!C8</f>
        <v>1</v>
      </c>
      <c r="D8" s="60">
        <f>Beechdean!D8</f>
        <v>2</v>
      </c>
      <c r="E8" s="60">
        <f>Beechdean!E8</f>
        <v>3</v>
      </c>
      <c r="F8" s="60">
        <f>Beechdean!F8</f>
        <v>4</v>
      </c>
      <c r="G8" s="60">
        <f>Beechdean!G8</f>
        <v>5</v>
      </c>
      <c r="H8" s="60">
        <f>Beechdean!H8</f>
        <v>6</v>
      </c>
      <c r="I8" s="60">
        <f>Beechdean!I8</f>
        <v>7</v>
      </c>
      <c r="J8" s="60">
        <f>Beechdean!J8</f>
        <v>8</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Beechdean!C9</f>
        <v>1</v>
      </c>
      <c r="D9" s="60" t="str">
        <f>Beechdean!D9</f>
        <v>Moderate</v>
      </c>
      <c r="E9" s="60" t="str">
        <f>Beechdean!E9</f>
        <v>Moderate</v>
      </c>
      <c r="F9" s="60" t="str">
        <f>Beechdean!F9</f>
        <v>Moderate</v>
      </c>
      <c r="G9" s="60">
        <f>Beechdean!G9</f>
        <v>1</v>
      </c>
      <c r="H9" s="60">
        <f>Beechdean!H9</f>
        <v>1</v>
      </c>
      <c r="I9" s="60">
        <f>Beechdean!I9</f>
        <v>1</v>
      </c>
      <c r="J9" s="60">
        <f>Beechdean!J9</f>
        <v>1</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Beechdean!C10</f>
        <v>6.7</v>
      </c>
      <c r="D10" s="60">
        <f>Beechdean!D10</f>
        <v>6.6</v>
      </c>
      <c r="E10" s="60">
        <f>Beechdean!E10</f>
        <v>6.9</v>
      </c>
      <c r="F10" s="60">
        <f>Beechdean!F10</f>
        <v>6.3</v>
      </c>
      <c r="G10" s="60">
        <f>Beechdean!G10</f>
        <v>6.5</v>
      </c>
      <c r="H10" s="60">
        <f>Beechdean!H10</f>
        <v>6.8</v>
      </c>
      <c r="I10" s="60">
        <f>Beechdean!I10</f>
        <v>6.6</v>
      </c>
      <c r="J10" s="60">
        <f>Beechdean!J10</f>
        <v>7.2</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Beechdean!C11</f>
        <v>1</v>
      </c>
      <c r="D11" s="60">
        <f>Beechdean!D11</f>
        <v>1</v>
      </c>
      <c r="E11" s="60">
        <f>Beechdean!E11</f>
        <v>1</v>
      </c>
      <c r="F11" s="60">
        <f>Beechdean!F11</f>
        <v>1</v>
      </c>
      <c r="G11" s="60">
        <f>Beechdean!G11</f>
        <v>1</v>
      </c>
      <c r="H11" s="60">
        <f>Beechdean!H11</f>
        <v>3</v>
      </c>
      <c r="I11" s="60">
        <f>Beechdean!I11</f>
        <v>3</v>
      </c>
      <c r="J11" s="60">
        <f>Beechdean!J11</f>
        <v>1</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Beechdean!C12</f>
        <v>1</v>
      </c>
      <c r="D12" s="60">
        <f>Beechdean!D12</f>
        <v>1</v>
      </c>
      <c r="E12" s="60">
        <f>Beechdean!E12</f>
        <v>1</v>
      </c>
      <c r="F12" s="60">
        <f>Beechdean!F12</f>
        <v>1</v>
      </c>
      <c r="G12" s="60">
        <f>Beechdean!G12</f>
        <v>1</v>
      </c>
      <c r="H12" s="60">
        <f>Beechdean!H12</f>
        <v>1</v>
      </c>
      <c r="I12" s="60">
        <f>Beechdean!I12</f>
        <v>1</v>
      </c>
      <c r="J12" s="60">
        <f>Beechdean!J12</f>
        <v>1</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Beechdean!C13</f>
        <v>1</v>
      </c>
      <c r="D13" s="60">
        <f>Beechdean!D13</f>
        <v>1</v>
      </c>
      <c r="E13" s="60">
        <f>Beechdean!E13</f>
        <v>1</v>
      </c>
      <c r="F13" s="60">
        <f>Beechdean!F13</f>
        <v>1</v>
      </c>
      <c r="G13" s="60">
        <f>Beechdean!G13</f>
        <v>1</v>
      </c>
      <c r="H13" s="60">
        <f>Beechdean!H13</f>
        <v>1</v>
      </c>
      <c r="I13" s="60">
        <f>Beechdean!I13</f>
        <v>1</v>
      </c>
      <c r="J13" s="60">
        <f>Beechdean!J13</f>
        <v>1</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Beechdean!C14</f>
        <v>Maize- Silage (30% DM)</v>
      </c>
      <c r="D14" s="102" t="str">
        <f>Beechdean!D14</f>
        <v xml:space="preserve">Grass Silage (25% DM) </v>
      </c>
      <c r="E14" s="102" t="str">
        <f>Beechdean!E14</f>
        <v xml:space="preserve">Grass Silage (25% DM) </v>
      </c>
      <c r="F14" s="102" t="str">
        <f>Beechdean!F14</f>
        <v xml:space="preserve">Grass Silage (25% DM) </v>
      </c>
      <c r="G14" s="102" t="str">
        <f>Beechdean!G14</f>
        <v>Maize- Silage (30% DM)</v>
      </c>
      <c r="H14" s="102" t="str">
        <f>Beechdean!H14</f>
        <v xml:space="preserve">Winter wheat- grain only </v>
      </c>
      <c r="I14" s="102" t="str">
        <f>Beechdean!I14</f>
        <v xml:space="preserve">Winter wheat- grain only </v>
      </c>
      <c r="J14" s="102" t="str">
        <f>Beechdean!J14</f>
        <v xml:space="preserve">Winter wheat- grain only </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7" t="s">
        <v>9</v>
      </c>
      <c r="B15" s="137"/>
      <c r="C15" s="60">
        <f>Beechdean!C15</f>
        <v>40</v>
      </c>
      <c r="D15" s="60">
        <f>Beechdean!D15</f>
        <v>38</v>
      </c>
      <c r="E15" s="60">
        <f>Beechdean!E15</f>
        <v>38</v>
      </c>
      <c r="F15" s="60">
        <f>Beechdean!F15</f>
        <v>38</v>
      </c>
      <c r="G15" s="60">
        <f>Beechdean!G15</f>
        <v>40</v>
      </c>
      <c r="H15" s="60">
        <f>Beechdean!H15</f>
        <v>8</v>
      </c>
      <c r="I15" s="60">
        <f>Beechdean!I15</f>
        <v>8</v>
      </c>
      <c r="J15" s="60">
        <f>Beechdean!J15</f>
        <v>8</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Beechdean!C16</f>
        <v>Sandy Loam</v>
      </c>
      <c r="D16" s="103" t="str">
        <f>Beechdean!D16</f>
        <v>Sandy Loam</v>
      </c>
      <c r="E16" s="103" t="str">
        <f>Beechdean!E16</f>
        <v>Sandy Loam</v>
      </c>
      <c r="F16" s="103" t="str">
        <f>Beechdean!F16</f>
        <v>Sandy Loam</v>
      </c>
      <c r="G16" s="103" t="str">
        <f>Beechdean!G16</f>
        <v>Sandy Loam</v>
      </c>
      <c r="H16" s="103" t="str">
        <f>Beechdean!H16</f>
        <v>Sandy Loam</v>
      </c>
      <c r="I16" s="103" t="str">
        <f>Beechdean!I16</f>
        <v>Sandy Loam</v>
      </c>
      <c r="J16" s="103" t="str">
        <f>Beechdean!J16</f>
        <v>Sandy Loam</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35.224125000000001</v>
      </c>
      <c r="D18" s="16">
        <f>$D32</f>
        <v>35.224125000000001</v>
      </c>
      <c r="E18" s="16">
        <f>$D33</f>
        <v>35.224125000000001</v>
      </c>
      <c r="F18" s="16">
        <f>$D34</f>
        <v>35.224125000000001</v>
      </c>
      <c r="G18" s="16">
        <f>$D35</f>
        <v>35.224125000000001</v>
      </c>
      <c r="H18" s="16">
        <f>$D36</f>
        <v>35.224125000000001</v>
      </c>
      <c r="I18" s="16">
        <f>$D37</f>
        <v>35.224125000000001</v>
      </c>
      <c r="J18" s="16">
        <f>$D38</f>
        <v>35.224125000000001</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-20.775874999999999</v>
      </c>
      <c r="D19" s="16">
        <f t="shared" ref="D19:V19" si="1">D18-D17</f>
        <v>-29.375874999999994</v>
      </c>
      <c r="E19" s="16">
        <f t="shared" si="1"/>
        <v>-29.375874999999994</v>
      </c>
      <c r="F19" s="16">
        <f t="shared" si="1"/>
        <v>-29.375874999999994</v>
      </c>
      <c r="G19" s="16">
        <f t="shared" si="1"/>
        <v>-20.775874999999999</v>
      </c>
      <c r="H19" s="16">
        <f t="shared" si="1"/>
        <v>-16.775874999999999</v>
      </c>
      <c r="I19" s="16">
        <f t="shared" si="1"/>
        <v>-16.775874999999999</v>
      </c>
      <c r="J19" s="16">
        <f t="shared" si="1"/>
        <v>-16.775874999999999</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22.533500000000004</v>
      </c>
      <c r="D22" s="16">
        <f>$E32</f>
        <v>22.533500000000004</v>
      </c>
      <c r="E22" s="16">
        <f>$E33</f>
        <v>22.533500000000004</v>
      </c>
      <c r="F22" s="16">
        <f>$E34</f>
        <v>22.533500000000004</v>
      </c>
      <c r="G22" s="16">
        <f>$E35</f>
        <v>22.533500000000004</v>
      </c>
      <c r="H22" s="16">
        <f>$E36</f>
        <v>22.533500000000004</v>
      </c>
      <c r="I22" s="16">
        <f>$E37</f>
        <v>22.533500000000004</v>
      </c>
      <c r="J22" s="16">
        <f>$E38</f>
        <v>22.533500000000004</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-153.4665</v>
      </c>
      <c r="D23" s="16">
        <f t="shared" ref="D23:V23" si="3">D22-D21</f>
        <v>-205.4665</v>
      </c>
      <c r="E23" s="16">
        <f t="shared" si="3"/>
        <v>-205.4665</v>
      </c>
      <c r="F23" s="16">
        <f t="shared" si="3"/>
        <v>-205.4665</v>
      </c>
      <c r="G23" s="16">
        <f t="shared" si="3"/>
        <v>-153.4665</v>
      </c>
      <c r="H23" s="16">
        <f t="shared" si="3"/>
        <v>-21.466499999999996</v>
      </c>
      <c r="I23" s="16">
        <f t="shared" si="3"/>
        <v>-21.466499999999996</v>
      </c>
      <c r="J23" s="16">
        <f t="shared" si="3"/>
        <v>-21.466499999999996</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1.55</v>
      </c>
      <c r="C28" s="15">
        <v>0.03</v>
      </c>
      <c r="D28" s="15">
        <v>61.5</v>
      </c>
      <c r="E28" s="15">
        <v>74.8</v>
      </c>
      <c r="F28" s="15">
        <v>24</v>
      </c>
      <c r="G28" s="15">
        <v>0.21199999999999999</v>
      </c>
      <c r="H28" s="15">
        <v>1.77</v>
      </c>
      <c r="I28" s="15">
        <v>0.5</v>
      </c>
      <c r="J28" s="15">
        <v>0.01</v>
      </c>
      <c r="K28" s="23">
        <v>0.05</v>
      </c>
      <c r="L28" s="15">
        <v>0.22900000000000001</v>
      </c>
      <c r="M28" s="15">
        <v>0.22900000000000001</v>
      </c>
      <c r="N28" s="15"/>
      <c r="O28" s="15"/>
      <c r="P28" s="15">
        <v>284</v>
      </c>
      <c r="Q28" s="15">
        <v>125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35.224125000000001</v>
      </c>
      <c r="E31" s="77">
        <f>(IF(E$27="%w/w SAR",((E$28*10)*$B31),IF(E$27="%w/w DM",(((E$28*10)*($B$28/100))*$B31),IF(E$27="kg/t SAR",(E$28*$B31),IF(E$27="kg/t DM",((E$28*($B$28/100))*$B31),IF(E$27="mg/kg SAR",((E$28*0.001)*$B31),IF(E$27="mg/kg DM",(((E$28*0.001)*($B$28/100))*$B31),"0")))))))*1.205</f>
        <v>22.533500000000004</v>
      </c>
      <c r="F31" s="77">
        <f>(IF(F$27="%w/w SAR",((F$28*10)*$B31),IF(F$27="%w/w DM",(((F$28*10)*($B$28/100))*$B31),IF(F$27="kg/t SAR",(F$28*$B31),IF(F$27="kg/t DM",((F$28*($B$28/100))*$B31),IF(F$27="mg/kg SAR",((F$28*0.001)*$B31),IF(F$27="mg/kg DM",(((F$28*0.001)*($B$28/100))*$B31),"0")))))))*1.658</f>
        <v>9.9480000000000004</v>
      </c>
      <c r="G31" s="77">
        <f t="shared" ref="G31:P46" si="5">IF(G$27="%w/w SAR",((G$28*10)*$B31),IF(G$27="%w/w DM",(((G$28*10)*($B$28/100))*$B31),IF(G$27="kg/t SAR",(G$28*$B31),IF(G$27="kg/t DM",((G$28*($B$28/100))*$B31),IF(G$27="mg/kg SAR",((G$28*0.001)*$B31),IF(G$27="mg/kg DM",(((G$28*0.001)*($B$28/100))*$B31),0))))))</f>
        <v>5.2999999999999999E-2</v>
      </c>
      <c r="H31" s="77">
        <f t="shared" si="5"/>
        <v>0.4425</v>
      </c>
      <c r="I31" s="77">
        <f t="shared" si="5"/>
        <v>0.125</v>
      </c>
      <c r="J31" s="77">
        <f t="shared" si="5"/>
        <v>2.5000000000000001E-3</v>
      </c>
      <c r="K31" s="77">
        <f t="shared" si="5"/>
        <v>1.2500000000000001E-2</v>
      </c>
      <c r="L31" s="77">
        <f t="shared" si="5"/>
        <v>5.7250000000000002E-2</v>
      </c>
      <c r="M31" s="77">
        <f t="shared" si="5"/>
        <v>5.7250000000000002E-2</v>
      </c>
      <c r="N31" s="77">
        <f t="shared" si="5"/>
        <v>0</v>
      </c>
      <c r="O31" s="77">
        <f t="shared" si="5"/>
        <v>0</v>
      </c>
      <c r="P31" s="77">
        <f t="shared" si="5"/>
        <v>71.000000000000014</v>
      </c>
      <c r="Q31" s="77">
        <f>(IF(Q$27="%w/w SAR",((Q$28*10)*$B31),IF(Q$27="%w/w DM",(((Q$28*10)*($B$28/100))*$B31),IF(Q$27="kg/t SAR",(Q$28*$B31),IF(Q$27="kg/t DM",((Q$28*($B$28/100))*$B31),IF(Q$27="mg/kg SAR",((Q$28*0.001)*$B31),IF(Q$27="mg/kg DM",(((Q$28*0.001)*($B$28/100))*$B31),0)))))))*2.5</f>
        <v>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35.224125000000001</v>
      </c>
      <c r="E32" s="77">
        <f t="shared" ref="E32:E50" si="8">(IF(E$27="%w/w SAR",((E$28*10)*$B32),IF(E$27="%w/w DM",(((E$28*10)*($B$28/100))*$B32),IF(E$27="kg/t SAR",(E$28*$B32),IF(E$27="kg/t DM",((E$28*($B$28/100))*$B32),IF(E$27="mg/kg SAR",((E$28*0.001)*$B32),IF(E$27="mg/kg DM",(((E$28*0.001)*($B$28/100))*$B32),"0")))))))*1.205</f>
        <v>22.533500000000004</v>
      </c>
      <c r="F32" s="77">
        <f t="shared" ref="F32:F50" si="9">(IF(F$27="%w/w SAR",((F$28*10)*$B32),IF(F$27="%w/w DM",(((F$28*10)*($B$28/100))*$B32),IF(F$27="kg/t SAR",(F$28*$B32),IF(F$27="kg/t DM",((F$28*($B$28/100))*$B32),IF(F$27="mg/kg SAR",((F$28*0.001)*$B32),IF(F$27="mg/kg DM",(((F$28*0.001)*($B$28/100))*$B32),"0")))))))*1.658</f>
        <v>9.9480000000000004</v>
      </c>
      <c r="G32" s="77">
        <f t="shared" si="5"/>
        <v>5.2999999999999999E-2</v>
      </c>
      <c r="H32" s="77">
        <f t="shared" si="5"/>
        <v>0.4425</v>
      </c>
      <c r="I32" s="77">
        <f t="shared" si="5"/>
        <v>0.125</v>
      </c>
      <c r="J32" s="77">
        <f t="shared" si="5"/>
        <v>2.5000000000000001E-3</v>
      </c>
      <c r="K32" s="77">
        <f t="shared" si="5"/>
        <v>1.2500000000000001E-2</v>
      </c>
      <c r="L32" s="77">
        <f t="shared" si="5"/>
        <v>5.7250000000000002E-2</v>
      </c>
      <c r="M32" s="77">
        <f t="shared" si="5"/>
        <v>5.7250000000000002E-2</v>
      </c>
      <c r="N32" s="77">
        <f t="shared" si="5"/>
        <v>0</v>
      </c>
      <c r="O32" s="77">
        <f t="shared" si="5"/>
        <v>0</v>
      </c>
      <c r="P32" s="77">
        <f t="shared" si="5"/>
        <v>71.000000000000014</v>
      </c>
      <c r="Q32" s="77">
        <f t="shared" ref="Q32:Q50" si="10">(IF(Q$27="%w/w SAR",((Q$28*10)*$B32),IF(Q$27="%w/w DM",(((Q$28*10)*($B$28/100))*$B32),IF(Q$27="kg/t SAR",(Q$28*$B32),IF(Q$27="kg/t DM",((Q$28*($B$28/100))*$B32),IF(Q$27="mg/kg SAR",((Q$28*0.001)*$B32),IF(Q$27="mg/kg DM",(((Q$28*0.001)*($B$28/100))*$B32),0)))))))*2.5</f>
        <v>78.125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75</v>
      </c>
      <c r="D33" s="77">
        <f t="shared" si="7"/>
        <v>35.224125000000001</v>
      </c>
      <c r="E33" s="77">
        <f t="shared" si="8"/>
        <v>22.533500000000004</v>
      </c>
      <c r="F33" s="77">
        <f t="shared" si="9"/>
        <v>9.9480000000000004</v>
      </c>
      <c r="G33" s="77">
        <f t="shared" si="5"/>
        <v>5.2999999999999999E-2</v>
      </c>
      <c r="H33" s="77">
        <f t="shared" si="5"/>
        <v>0.4425</v>
      </c>
      <c r="I33" s="77">
        <f t="shared" si="5"/>
        <v>0.125</v>
      </c>
      <c r="J33" s="77">
        <f t="shared" si="5"/>
        <v>2.5000000000000001E-3</v>
      </c>
      <c r="K33" s="77">
        <f t="shared" si="5"/>
        <v>1.2500000000000001E-2</v>
      </c>
      <c r="L33" s="77">
        <f t="shared" si="5"/>
        <v>5.7250000000000002E-2</v>
      </c>
      <c r="M33" s="77">
        <f t="shared" si="5"/>
        <v>5.7250000000000002E-2</v>
      </c>
      <c r="N33" s="77">
        <f t="shared" si="5"/>
        <v>0</v>
      </c>
      <c r="O33" s="77">
        <f t="shared" si="5"/>
        <v>0</v>
      </c>
      <c r="P33" s="77">
        <f t="shared" si="5"/>
        <v>71.000000000000014</v>
      </c>
      <c r="Q33" s="77">
        <f t="shared" si="10"/>
        <v>78.125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75</v>
      </c>
      <c r="D34" s="77">
        <f t="shared" si="7"/>
        <v>35.224125000000001</v>
      </c>
      <c r="E34" s="77">
        <f t="shared" si="8"/>
        <v>22.533500000000004</v>
      </c>
      <c r="F34" s="77">
        <f t="shared" si="9"/>
        <v>9.9480000000000004</v>
      </c>
      <c r="G34" s="77">
        <f t="shared" si="5"/>
        <v>5.2999999999999999E-2</v>
      </c>
      <c r="H34" s="77">
        <f t="shared" si="5"/>
        <v>0.4425</v>
      </c>
      <c r="I34" s="77">
        <f t="shared" si="5"/>
        <v>0.125</v>
      </c>
      <c r="J34" s="77">
        <f t="shared" si="5"/>
        <v>2.5000000000000001E-3</v>
      </c>
      <c r="K34" s="77">
        <f t="shared" si="5"/>
        <v>1.2500000000000001E-2</v>
      </c>
      <c r="L34" s="77">
        <f t="shared" si="5"/>
        <v>5.7250000000000002E-2</v>
      </c>
      <c r="M34" s="77">
        <f t="shared" si="5"/>
        <v>5.7250000000000002E-2</v>
      </c>
      <c r="N34" s="77">
        <f t="shared" si="5"/>
        <v>0</v>
      </c>
      <c r="O34" s="77">
        <f t="shared" si="5"/>
        <v>0</v>
      </c>
      <c r="P34" s="77">
        <f t="shared" si="5"/>
        <v>71.000000000000014</v>
      </c>
      <c r="Q34" s="77">
        <f t="shared" si="10"/>
        <v>78.125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75</v>
      </c>
      <c r="D35" s="77">
        <f t="shared" si="7"/>
        <v>35.224125000000001</v>
      </c>
      <c r="E35" s="77">
        <f t="shared" si="8"/>
        <v>22.533500000000004</v>
      </c>
      <c r="F35" s="77">
        <f t="shared" si="9"/>
        <v>9.9480000000000004</v>
      </c>
      <c r="G35" s="77">
        <f t="shared" si="5"/>
        <v>5.2999999999999999E-2</v>
      </c>
      <c r="H35" s="77">
        <f t="shared" si="5"/>
        <v>0.4425</v>
      </c>
      <c r="I35" s="77">
        <f t="shared" si="5"/>
        <v>0.125</v>
      </c>
      <c r="J35" s="77">
        <f t="shared" si="5"/>
        <v>2.5000000000000001E-3</v>
      </c>
      <c r="K35" s="77">
        <f t="shared" si="5"/>
        <v>1.2500000000000001E-2</v>
      </c>
      <c r="L35" s="77">
        <f t="shared" si="5"/>
        <v>5.7250000000000002E-2</v>
      </c>
      <c r="M35" s="77">
        <f t="shared" si="5"/>
        <v>5.7250000000000002E-2</v>
      </c>
      <c r="N35" s="77">
        <f t="shared" si="5"/>
        <v>0</v>
      </c>
      <c r="O35" s="77">
        <f t="shared" si="5"/>
        <v>0</v>
      </c>
      <c r="P35" s="77">
        <f t="shared" si="5"/>
        <v>71.000000000000014</v>
      </c>
      <c r="Q35" s="77">
        <f t="shared" si="10"/>
        <v>78.125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75</v>
      </c>
      <c r="D36" s="77">
        <f t="shared" si="7"/>
        <v>35.224125000000001</v>
      </c>
      <c r="E36" s="77">
        <f t="shared" si="8"/>
        <v>22.533500000000004</v>
      </c>
      <c r="F36" s="77">
        <f t="shared" si="9"/>
        <v>9.9480000000000004</v>
      </c>
      <c r="G36" s="77">
        <f t="shared" si="5"/>
        <v>5.2999999999999999E-2</v>
      </c>
      <c r="H36" s="77">
        <f t="shared" si="5"/>
        <v>0.4425</v>
      </c>
      <c r="I36" s="77">
        <f t="shared" si="5"/>
        <v>0.125</v>
      </c>
      <c r="J36" s="77">
        <f t="shared" si="5"/>
        <v>2.5000000000000001E-3</v>
      </c>
      <c r="K36" s="77">
        <f t="shared" si="5"/>
        <v>1.2500000000000001E-2</v>
      </c>
      <c r="L36" s="77">
        <f t="shared" si="5"/>
        <v>5.7250000000000002E-2</v>
      </c>
      <c r="M36" s="77">
        <f t="shared" si="5"/>
        <v>5.7250000000000002E-2</v>
      </c>
      <c r="N36" s="77">
        <f t="shared" si="5"/>
        <v>0</v>
      </c>
      <c r="O36" s="77">
        <f t="shared" si="5"/>
        <v>0</v>
      </c>
      <c r="P36" s="77">
        <f t="shared" si="5"/>
        <v>71.000000000000014</v>
      </c>
      <c r="Q36" s="77">
        <f t="shared" si="10"/>
        <v>78.125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250</v>
      </c>
      <c r="C37" s="77">
        <f t="shared" si="6"/>
        <v>75</v>
      </c>
      <c r="D37" s="77">
        <f t="shared" si="7"/>
        <v>35.224125000000001</v>
      </c>
      <c r="E37" s="77">
        <f t="shared" si="8"/>
        <v>22.533500000000004</v>
      </c>
      <c r="F37" s="77">
        <f t="shared" si="9"/>
        <v>9.9480000000000004</v>
      </c>
      <c r="G37" s="77">
        <f t="shared" si="5"/>
        <v>5.2999999999999999E-2</v>
      </c>
      <c r="H37" s="77">
        <f t="shared" si="5"/>
        <v>0.4425</v>
      </c>
      <c r="I37" s="77">
        <f t="shared" si="5"/>
        <v>0.125</v>
      </c>
      <c r="J37" s="77">
        <f t="shared" si="5"/>
        <v>2.5000000000000001E-3</v>
      </c>
      <c r="K37" s="77">
        <f t="shared" si="5"/>
        <v>1.2500000000000001E-2</v>
      </c>
      <c r="L37" s="77">
        <f t="shared" si="5"/>
        <v>5.7250000000000002E-2</v>
      </c>
      <c r="M37" s="77">
        <f t="shared" si="5"/>
        <v>5.7250000000000002E-2</v>
      </c>
      <c r="N37" s="77">
        <f t="shared" si="5"/>
        <v>0</v>
      </c>
      <c r="O37" s="77">
        <f t="shared" si="5"/>
        <v>0</v>
      </c>
      <c r="P37" s="77">
        <f t="shared" si="5"/>
        <v>71.000000000000014</v>
      </c>
      <c r="Q37" s="77">
        <f t="shared" si="10"/>
        <v>78.125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250</v>
      </c>
      <c r="C38" s="77">
        <f t="shared" si="6"/>
        <v>75</v>
      </c>
      <c r="D38" s="77">
        <f t="shared" si="7"/>
        <v>35.224125000000001</v>
      </c>
      <c r="E38" s="77">
        <f t="shared" si="8"/>
        <v>22.533500000000004</v>
      </c>
      <c r="F38" s="77">
        <f t="shared" si="9"/>
        <v>9.9480000000000004</v>
      </c>
      <c r="G38" s="77">
        <f t="shared" si="5"/>
        <v>5.2999999999999999E-2</v>
      </c>
      <c r="H38" s="77">
        <f t="shared" si="5"/>
        <v>0.4425</v>
      </c>
      <c r="I38" s="77">
        <f t="shared" si="5"/>
        <v>0.125</v>
      </c>
      <c r="J38" s="77">
        <f t="shared" si="5"/>
        <v>2.5000000000000001E-3</v>
      </c>
      <c r="K38" s="77">
        <f t="shared" si="5"/>
        <v>1.2500000000000001E-2</v>
      </c>
      <c r="L38" s="77">
        <f t="shared" si="5"/>
        <v>5.7250000000000002E-2</v>
      </c>
      <c r="M38" s="77">
        <f t="shared" si="5"/>
        <v>5.7250000000000002E-2</v>
      </c>
      <c r="N38" s="77">
        <f t="shared" si="5"/>
        <v>0</v>
      </c>
      <c r="O38" s="77">
        <f t="shared" si="5"/>
        <v>0</v>
      </c>
      <c r="P38" s="77">
        <f t="shared" si="5"/>
        <v>71.000000000000014</v>
      </c>
      <c r="Q38" s="77">
        <f t="shared" si="10"/>
        <v>78.125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Sandy Loam I Arable</v>
      </c>
      <c r="C58" s="13" t="str">
        <f>D16&amp;" I "&amp;(VLOOKUP(D14,Table24581113[],6,FALSE))</f>
        <v>Sandy Loam I Grass</v>
      </c>
      <c r="D58" s="13" t="str">
        <f>E16&amp;" I "&amp;(VLOOKUP(E14,Table24581113[],6,FALSE))</f>
        <v>Sandy Loam I Grass</v>
      </c>
      <c r="E58" s="13" t="str">
        <f>F16&amp;" I "&amp;(VLOOKUP(F14,Table24581113[],6,FALSE))</f>
        <v>Sandy Loam I Grass</v>
      </c>
      <c r="F58" s="13" t="str">
        <f>G16&amp;" I "&amp;(VLOOKUP(G14,Table24581113[],6,FALSE))</f>
        <v>Sandy Loam I Arable</v>
      </c>
      <c r="G58" s="13" t="str">
        <f>H16&amp;" I "&amp;(VLOOKUP(H14,Table24581113[],6,FALSE))</f>
        <v>Sandy Loam I Arable</v>
      </c>
      <c r="H58" s="13" t="str">
        <f>I16&amp;" I "&amp;(VLOOKUP(I14,Table24581113[],6,FALSE))</f>
        <v>Sandy Loam I Arable</v>
      </c>
      <c r="I58" s="13" t="str">
        <f>J16&amp;" I "&amp;(VLOOKUP(J14,Table24581113[],6,FALSE))</f>
        <v>Sandy Loam I Arable</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6.2</v>
      </c>
      <c r="D59" s="76">
        <f>VLOOKUP(E$14,Table24581113[],5,FALSE)</f>
        <v>6.2</v>
      </c>
      <c r="E59" s="76">
        <f>VLOOKUP(F$14,Table24581113[],5,FALSE)</f>
        <v>6.2</v>
      </c>
      <c r="F59" s="76">
        <f>VLOOKUP(G$14,Table24581113[],5,FALSE)</f>
        <v>6.7</v>
      </c>
      <c r="G59" s="76">
        <f>VLOOKUP(H$14,Table24581113[],5,FALSE)</f>
        <v>6.7</v>
      </c>
      <c r="H59" s="76">
        <f>VLOOKUP(I$14,Table24581113[],5,FALSE)</f>
        <v>6.7</v>
      </c>
      <c r="I59" s="76">
        <f>VLOOKUP(J$14,Table24581113[],5,FALSE)</f>
        <v>6.7</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13" zoomScale="70" zoomScaleNormal="7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PAN-016059</v>
      </c>
      <c r="D1" s="143"/>
      <c r="E1" s="93" t="s">
        <v>45</v>
      </c>
      <c r="F1" s="39">
        <f>Beechdean!F1</f>
        <v>33</v>
      </c>
      <c r="G1" s="125" t="s">
        <v>43</v>
      </c>
      <c r="H1" s="126"/>
      <c r="I1" s="118">
        <v>7.45</v>
      </c>
      <c r="J1" s="129" t="s">
        <v>153</v>
      </c>
      <c r="K1" s="129"/>
      <c r="L1" s="97">
        <v>27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Beechdean!C2:D2</f>
        <v>KP3594VE</v>
      </c>
      <c r="D2" s="145"/>
      <c r="E2" s="93" t="s">
        <v>109</v>
      </c>
      <c r="F2" s="96" t="s">
        <v>179</v>
      </c>
      <c r="G2" s="127" t="s">
        <v>110</v>
      </c>
      <c r="H2" s="128"/>
      <c r="I2" s="118">
        <v>1045</v>
      </c>
      <c r="J2" s="129" t="s">
        <v>158</v>
      </c>
      <c r="K2" s="129"/>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Beechdean!C3:D3</f>
        <v>Trade Effluent Services Limited</v>
      </c>
      <c r="D3" s="145"/>
      <c r="E3" s="93" t="s">
        <v>108</v>
      </c>
      <c r="F3" s="31" t="s">
        <v>78</v>
      </c>
      <c r="G3" s="129" t="s">
        <v>159</v>
      </c>
      <c r="H3" s="129"/>
      <c r="I3" s="118">
        <v>200</v>
      </c>
      <c r="J3" s="125" t="s">
        <v>154</v>
      </c>
      <c r="K3" s="126"/>
      <c r="L3" s="97">
        <f>(L1/(L2*10000))*100</f>
        <v>3.8571428571428563</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Beechdean!C4:D4</f>
        <v>Gwysaney Home Farm, Denbigh Road, Mold, CH7 5HE</v>
      </c>
      <c r="D4" s="143"/>
      <c r="E4" s="94" t="s">
        <v>1</v>
      </c>
      <c r="F4" s="119" t="s">
        <v>174</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Beechdean!C5:D5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Beechdean!C8</f>
        <v>1</v>
      </c>
      <c r="D8" s="60">
        <f>Beechdean!D8</f>
        <v>2</v>
      </c>
      <c r="E8" s="60">
        <f>Beechdean!E8</f>
        <v>3</v>
      </c>
      <c r="F8" s="60">
        <f>Beechdean!F8</f>
        <v>4</v>
      </c>
      <c r="G8" s="60">
        <f>Beechdean!G8</f>
        <v>5</v>
      </c>
      <c r="H8" s="60">
        <f>Beechdean!H8</f>
        <v>6</v>
      </c>
      <c r="I8" s="60">
        <f>Beechdean!I8</f>
        <v>7</v>
      </c>
      <c r="J8" s="60">
        <f>Beechdean!J8</f>
        <v>8</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Beechdean!C9</f>
        <v>1</v>
      </c>
      <c r="D9" s="60" t="str">
        <f>Beechdean!D9</f>
        <v>Moderate</v>
      </c>
      <c r="E9" s="60" t="str">
        <f>Beechdean!E9</f>
        <v>Moderate</v>
      </c>
      <c r="F9" s="60" t="str">
        <f>Beechdean!F9</f>
        <v>Moderate</v>
      </c>
      <c r="G9" s="60">
        <f>Beechdean!G9</f>
        <v>1</v>
      </c>
      <c r="H9" s="60">
        <f>Beechdean!H9</f>
        <v>1</v>
      </c>
      <c r="I9" s="60">
        <f>Beechdean!I9</f>
        <v>1</v>
      </c>
      <c r="J9" s="60">
        <f>Beechdean!J9</f>
        <v>1</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Beechdean!C10</f>
        <v>6.7</v>
      </c>
      <c r="D10" s="60">
        <f>Beechdean!D10</f>
        <v>6.6</v>
      </c>
      <c r="E10" s="60">
        <f>Beechdean!E10</f>
        <v>6.9</v>
      </c>
      <c r="F10" s="60">
        <f>Beechdean!F10</f>
        <v>6.3</v>
      </c>
      <c r="G10" s="60">
        <f>Beechdean!G10</f>
        <v>6.5</v>
      </c>
      <c r="H10" s="60">
        <f>Beechdean!H10</f>
        <v>6.8</v>
      </c>
      <c r="I10" s="60">
        <f>Beechdean!I10</f>
        <v>6.6</v>
      </c>
      <c r="J10" s="60">
        <f>Beechdean!J10</f>
        <v>7.2</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Beechdean!C11</f>
        <v>1</v>
      </c>
      <c r="D11" s="60">
        <f>Beechdean!D11</f>
        <v>1</v>
      </c>
      <c r="E11" s="60">
        <f>Beechdean!E11</f>
        <v>1</v>
      </c>
      <c r="F11" s="60">
        <f>Beechdean!F11</f>
        <v>1</v>
      </c>
      <c r="G11" s="60">
        <f>Beechdean!G11</f>
        <v>1</v>
      </c>
      <c r="H11" s="60">
        <f>Beechdean!H11</f>
        <v>3</v>
      </c>
      <c r="I11" s="60">
        <f>Beechdean!I11</f>
        <v>3</v>
      </c>
      <c r="J11" s="60">
        <f>Beechdean!J11</f>
        <v>1</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Beechdean!C12</f>
        <v>1</v>
      </c>
      <c r="D12" s="60">
        <f>Beechdean!D12</f>
        <v>1</v>
      </c>
      <c r="E12" s="60">
        <f>Beechdean!E12</f>
        <v>1</v>
      </c>
      <c r="F12" s="60">
        <f>Beechdean!F12</f>
        <v>1</v>
      </c>
      <c r="G12" s="60">
        <f>Beechdean!G12</f>
        <v>1</v>
      </c>
      <c r="H12" s="60">
        <f>Beechdean!H12</f>
        <v>1</v>
      </c>
      <c r="I12" s="60">
        <f>Beechdean!I12</f>
        <v>1</v>
      </c>
      <c r="J12" s="60">
        <f>Beechdean!J12</f>
        <v>1</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Beechdean!C13</f>
        <v>1</v>
      </c>
      <c r="D13" s="60">
        <f>Beechdean!D13</f>
        <v>1</v>
      </c>
      <c r="E13" s="60">
        <f>Beechdean!E13</f>
        <v>1</v>
      </c>
      <c r="F13" s="60">
        <f>Beechdean!F13</f>
        <v>1</v>
      </c>
      <c r="G13" s="60">
        <f>Beechdean!G13</f>
        <v>1</v>
      </c>
      <c r="H13" s="60">
        <f>Beechdean!H13</f>
        <v>1</v>
      </c>
      <c r="I13" s="60">
        <f>Beechdean!I13</f>
        <v>1</v>
      </c>
      <c r="J13" s="60">
        <f>Beechdean!J13</f>
        <v>1</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Beechdean!C14</f>
        <v>Maize- Silage (30% DM)</v>
      </c>
      <c r="D14" s="102" t="str">
        <f>Beechdean!D14</f>
        <v xml:space="preserve">Grass Silage (25% DM) </v>
      </c>
      <c r="E14" s="102" t="str">
        <f>Beechdean!E14</f>
        <v xml:space="preserve">Grass Silage (25% DM) </v>
      </c>
      <c r="F14" s="102" t="str">
        <f>Beechdean!F14</f>
        <v xml:space="preserve">Grass Silage (25% DM) </v>
      </c>
      <c r="G14" s="102" t="str">
        <f>Beechdean!G14</f>
        <v>Maize- Silage (30% DM)</v>
      </c>
      <c r="H14" s="102" t="str">
        <f>Beechdean!H14</f>
        <v xml:space="preserve">Winter wheat- grain only </v>
      </c>
      <c r="I14" s="102" t="str">
        <f>Beechdean!I14</f>
        <v xml:space="preserve">Winter wheat- grain only </v>
      </c>
      <c r="J14" s="102" t="str">
        <f>Beechdean!J14</f>
        <v xml:space="preserve">Winter wheat- grain only </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7" t="s">
        <v>9</v>
      </c>
      <c r="B15" s="137"/>
      <c r="C15" s="60">
        <f>Beechdean!C15</f>
        <v>40</v>
      </c>
      <c r="D15" s="60">
        <f>Beechdean!D15</f>
        <v>38</v>
      </c>
      <c r="E15" s="60">
        <f>Beechdean!E15</f>
        <v>38</v>
      </c>
      <c r="F15" s="60">
        <f>Beechdean!F15</f>
        <v>38</v>
      </c>
      <c r="G15" s="60">
        <f>Beechdean!G15</f>
        <v>40</v>
      </c>
      <c r="H15" s="60">
        <f>Beechdean!H15</f>
        <v>8</v>
      </c>
      <c r="I15" s="60">
        <f>Beechdean!I15</f>
        <v>8</v>
      </c>
      <c r="J15" s="60">
        <f>Beechdean!J15</f>
        <v>8</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Beechdean!C16</f>
        <v>Sandy Loam</v>
      </c>
      <c r="D16" s="103" t="str">
        <f>Beechdean!D16</f>
        <v>Sandy Loam</v>
      </c>
      <c r="E16" s="103" t="str">
        <f>Beechdean!E16</f>
        <v>Sandy Loam</v>
      </c>
      <c r="F16" s="103" t="str">
        <f>Beechdean!F16</f>
        <v>Sandy Loam</v>
      </c>
      <c r="G16" s="103" t="str">
        <f>Beechdean!G16</f>
        <v>Sandy Loam</v>
      </c>
      <c r="H16" s="103" t="str">
        <f>Beechdean!H16</f>
        <v>Sandy Loam</v>
      </c>
      <c r="I16" s="103" t="str">
        <f>Beechdean!I16</f>
        <v>Sandy Loam</v>
      </c>
      <c r="J16" s="103" t="str">
        <f>Beechdean!J16</f>
        <v>Sandy Loam</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54.983999999999995</v>
      </c>
      <c r="D18" s="16">
        <f>$D32</f>
        <v>54.983999999999995</v>
      </c>
      <c r="E18" s="16">
        <f>$D33</f>
        <v>54.983999999999995</v>
      </c>
      <c r="F18" s="16">
        <f>$D34</f>
        <v>54.983999999999995</v>
      </c>
      <c r="G18" s="16">
        <f>$D35</f>
        <v>54.983999999999995</v>
      </c>
      <c r="H18" s="16">
        <f>$D36</f>
        <v>54.983999999999995</v>
      </c>
      <c r="I18" s="16">
        <f>$D37</f>
        <v>54.983999999999995</v>
      </c>
      <c r="J18" s="16">
        <f>$D38</f>
        <v>54.983999999999995</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-1.0160000000000053</v>
      </c>
      <c r="D19" s="16">
        <f t="shared" ref="D19:V19" si="1">D18-D17</f>
        <v>-9.6159999999999997</v>
      </c>
      <c r="E19" s="16">
        <f t="shared" si="1"/>
        <v>-9.6159999999999997</v>
      </c>
      <c r="F19" s="16">
        <f t="shared" si="1"/>
        <v>-9.6159999999999997</v>
      </c>
      <c r="G19" s="16">
        <f t="shared" si="1"/>
        <v>-1.0160000000000053</v>
      </c>
      <c r="H19" s="16">
        <f t="shared" si="1"/>
        <v>2.9839999999999947</v>
      </c>
      <c r="I19" s="16">
        <f t="shared" si="1"/>
        <v>2.9839999999999947</v>
      </c>
      <c r="J19" s="16">
        <f t="shared" si="1"/>
        <v>2.9839999999999947</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42.898000000000003</v>
      </c>
      <c r="D22" s="16">
        <f>$E32</f>
        <v>42.898000000000003</v>
      </c>
      <c r="E22" s="16">
        <f>$E33</f>
        <v>42.898000000000003</v>
      </c>
      <c r="F22" s="16">
        <f>$E34</f>
        <v>42.898000000000003</v>
      </c>
      <c r="G22" s="16">
        <f>$E35</f>
        <v>42.898000000000003</v>
      </c>
      <c r="H22" s="16">
        <f>$E36</f>
        <v>42.898000000000003</v>
      </c>
      <c r="I22" s="16">
        <f>$E37</f>
        <v>42.898000000000003</v>
      </c>
      <c r="J22" s="16">
        <f>$E38</f>
        <v>42.898000000000003</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-133.102</v>
      </c>
      <c r="D23" s="16">
        <f t="shared" ref="D23:V23" si="3">D22-D21</f>
        <v>-185.102</v>
      </c>
      <c r="E23" s="16">
        <f t="shared" si="3"/>
        <v>-185.102</v>
      </c>
      <c r="F23" s="16">
        <f t="shared" si="3"/>
        <v>-185.102</v>
      </c>
      <c r="G23" s="16">
        <f t="shared" si="3"/>
        <v>-133.102</v>
      </c>
      <c r="H23" s="16">
        <f t="shared" si="3"/>
        <v>-1.1019999999999968</v>
      </c>
      <c r="I23" s="16">
        <f t="shared" si="3"/>
        <v>-1.1019999999999968</v>
      </c>
      <c r="J23" s="16">
        <f t="shared" si="3"/>
        <v>-1.1019999999999968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56</v>
      </c>
      <c r="R27" s="107" t="s">
        <v>54</v>
      </c>
      <c r="S27" s="107" t="s">
        <v>54</v>
      </c>
      <c r="T27" s="107" t="s">
        <v>54</v>
      </c>
      <c r="U27" s="107" t="s">
        <v>54</v>
      </c>
    </row>
    <row r="28" spans="1:40" s="57" customFormat="1" x14ac:dyDescent="0.35">
      <c r="A28" s="108"/>
      <c r="B28" s="24">
        <v>1.1399999999999999</v>
      </c>
      <c r="C28" s="15">
        <v>7.0000000000000007E-2</v>
      </c>
      <c r="D28" s="15">
        <v>120</v>
      </c>
      <c r="E28" s="15">
        <v>178</v>
      </c>
      <c r="F28" s="15">
        <v>22.7</v>
      </c>
      <c r="G28" s="15">
        <v>0.77300000000000002</v>
      </c>
      <c r="H28" s="15">
        <v>2.14</v>
      </c>
      <c r="I28" s="15">
        <v>0.5</v>
      </c>
      <c r="J28" s="15">
        <v>0.01</v>
      </c>
      <c r="K28" s="23">
        <v>0.05</v>
      </c>
      <c r="L28" s="15">
        <v>0.2</v>
      </c>
      <c r="M28" s="15">
        <v>0.2</v>
      </c>
      <c r="N28" s="15"/>
      <c r="O28" s="15"/>
      <c r="P28" s="15">
        <v>1298</v>
      </c>
      <c r="Q28" s="15">
        <v>443</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200</v>
      </c>
      <c r="C31" s="77">
        <f>IF(C$27="%w/w SAR",((C$28*10)*$B31),IF(C$27="%w/w DM",(((C$28*10)*($B$28/100))*$B31),IF(C$27="kg/t SAR",(C$28*$B31),IF(C$27="kg/t DM",((C$28*($B$28/100))*$B31),IF(C$27="mg/kg SAR",((C$28*0.001)*$B31),IF(C$27="mg/kg DM",(((C$28*0.001)*($B$28/100))*$B31),0))))))</f>
        <v>140</v>
      </c>
      <c r="D31" s="77">
        <f>(IF(D$27="%w/w SAR",((D$28*10)*$B31),IF(D$27="%w/w DM",(((D$28*10)*($B$28/100))*$B31),IF(D$27="kg/t SAR",(D$28*$B31),IF(D$27="kg/t DM",((D$28*($B$28/100))*$B31),IF(D$27="mg/kg SAR",((D$28*0.001)*$B31),IF(D$27="mg/kg DM",(((D$28*0.001)*($B$28/100))*$B31),"0")))))))*2.291</f>
        <v>54.983999999999995</v>
      </c>
      <c r="E31" s="77">
        <f>(IF(E$27="%w/w SAR",((E$28*10)*$B31),IF(E$27="%w/w DM",(((E$28*10)*($B$28/100))*$B31),IF(E$27="kg/t SAR",(E$28*$B31),IF(E$27="kg/t DM",((E$28*($B$28/100))*$B31),IF(E$27="mg/kg SAR",((E$28*0.001)*$B31),IF(E$27="mg/kg DM",(((E$28*0.001)*($B$28/100))*$B31),"0")))))))*1.205</f>
        <v>42.898000000000003</v>
      </c>
      <c r="F31" s="77">
        <f>(IF(F$27="%w/w SAR",((F$28*10)*$B31),IF(F$27="%w/w DM",(((F$28*10)*($B$28/100))*$B31),IF(F$27="kg/t SAR",(F$28*$B31),IF(F$27="kg/t DM",((F$28*($B$28/100))*$B31),IF(F$27="mg/kg SAR",((F$28*0.001)*$B31),IF(F$27="mg/kg DM",(((F$28*0.001)*($B$28/100))*$B31),"0")))))))*1.658</f>
        <v>7.5273199999999996</v>
      </c>
      <c r="G31" s="77">
        <f t="shared" ref="G31:P46" si="5">IF(G$27="%w/w SAR",((G$28*10)*$B31),IF(G$27="%w/w DM",(((G$28*10)*($B$28/100))*$B31),IF(G$27="kg/t SAR",(G$28*$B31),IF(G$27="kg/t DM",((G$28*($B$28/100))*$B31),IF(G$27="mg/kg SAR",((G$28*0.001)*$B31),IF(G$27="mg/kg DM",(((G$28*0.001)*($B$28/100))*$B31),0))))))</f>
        <v>0.15460000000000002</v>
      </c>
      <c r="H31" s="77">
        <f t="shared" si="5"/>
        <v>0.42799999999999999</v>
      </c>
      <c r="I31" s="77">
        <f t="shared" si="5"/>
        <v>0.1</v>
      </c>
      <c r="J31" s="77">
        <f t="shared" si="5"/>
        <v>2E-3</v>
      </c>
      <c r="K31" s="77">
        <f t="shared" si="5"/>
        <v>0.01</v>
      </c>
      <c r="L31" s="77">
        <f t="shared" si="5"/>
        <v>0.04</v>
      </c>
      <c r="M31" s="77">
        <f t="shared" si="5"/>
        <v>0.04</v>
      </c>
      <c r="N31" s="77">
        <f t="shared" si="5"/>
        <v>0</v>
      </c>
      <c r="O31" s="77">
        <f t="shared" si="5"/>
        <v>0</v>
      </c>
      <c r="P31" s="77">
        <f t="shared" si="5"/>
        <v>259.60000000000002</v>
      </c>
      <c r="Q31" s="77">
        <f>(IF(Q$27="%w/w SAR",((Q$28*10)*$B31),IF(Q$27="%w/w DM",(((Q$28*10)*($B$28/100))*$B31),IF(Q$27="kg/t SAR",(Q$28*$B31),IF(Q$27="kg/t DM",((Q$28*($B$28/100))*$B31),IF(Q$27="mg/kg SAR",((Q$28*0.001)*$B31),IF(Q$27="mg/kg DM",(((Q$28*0.001)*($B$28/100))*$B31),0)))))))*2.5</f>
        <v>2215000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200</v>
      </c>
      <c r="C32" s="77">
        <f t="shared" ref="C32:C50" si="6">IF(C$27="%w/w SAR",((C$28*10)*$B32),IF(C$27="%w/w DM",(((C$28*10)*($B$28/100))*$B32),IF(C$27="kg/t SAR",(C$28*$B32),IF(C$27="kg/t DM",((C$28*($B$28/100))*$B32),IF(C$27="mg/kg SAR",((C$28*0.001)*$B32),IF(C$27="mg/kg DM",(((C$28*0.001)*($B$28/100))*$B32),0))))))</f>
        <v>140</v>
      </c>
      <c r="D32" s="77">
        <f t="shared" ref="D32:D50" si="7">(IF(D$27="%w/w SAR",((D$28*10)*$B32),IF(D$27="%w/w DM",(((D$28*10)*($B$28/100))*$B32),IF(D$27="kg/t SAR",(D$28*$B32),IF(D$27="kg/t DM",((D$28*($B$28/100))*$B32),IF(D$27="mg/kg SAR",((D$28*0.001)*$B32),IF(D$27="mg/kg DM",(((D$28*0.001)*($B$28/100))*$B32),"0")))))))*2.291</f>
        <v>54.983999999999995</v>
      </c>
      <c r="E32" s="77">
        <f t="shared" ref="E32:E50" si="8">(IF(E$27="%w/w SAR",((E$28*10)*$B32),IF(E$27="%w/w DM",(((E$28*10)*($B$28/100))*$B32),IF(E$27="kg/t SAR",(E$28*$B32),IF(E$27="kg/t DM",((E$28*($B$28/100))*$B32),IF(E$27="mg/kg SAR",((E$28*0.001)*$B32),IF(E$27="mg/kg DM",(((E$28*0.001)*($B$28/100))*$B32),"0")))))))*1.205</f>
        <v>42.898000000000003</v>
      </c>
      <c r="F32" s="77">
        <f t="shared" ref="F32:F50" si="9">(IF(F$27="%w/w SAR",((F$28*10)*$B32),IF(F$27="%w/w DM",(((F$28*10)*($B$28/100))*$B32),IF(F$27="kg/t SAR",(F$28*$B32),IF(F$27="kg/t DM",((F$28*($B$28/100))*$B32),IF(F$27="mg/kg SAR",((F$28*0.001)*$B32),IF(F$27="mg/kg DM",(((F$28*0.001)*($B$28/100))*$B32),"0")))))))*1.658</f>
        <v>7.5273199999999996</v>
      </c>
      <c r="G32" s="77">
        <f t="shared" si="5"/>
        <v>0.15460000000000002</v>
      </c>
      <c r="H32" s="77">
        <f t="shared" si="5"/>
        <v>0.42799999999999999</v>
      </c>
      <c r="I32" s="77">
        <f t="shared" si="5"/>
        <v>0.1</v>
      </c>
      <c r="J32" s="77">
        <f t="shared" si="5"/>
        <v>2E-3</v>
      </c>
      <c r="K32" s="77">
        <f t="shared" si="5"/>
        <v>0.01</v>
      </c>
      <c r="L32" s="77">
        <f t="shared" si="5"/>
        <v>0.04</v>
      </c>
      <c r="M32" s="77">
        <f t="shared" si="5"/>
        <v>0.04</v>
      </c>
      <c r="N32" s="77">
        <f t="shared" si="5"/>
        <v>0</v>
      </c>
      <c r="O32" s="77">
        <f t="shared" si="5"/>
        <v>0</v>
      </c>
      <c r="P32" s="77">
        <f t="shared" si="5"/>
        <v>259.60000000000002</v>
      </c>
      <c r="Q32" s="77">
        <f t="shared" ref="Q32:Q50" si="10">(IF(Q$27="%w/w SAR",((Q$28*10)*$B32),IF(Q$27="%w/w DM",(((Q$28*10)*($B$28/100))*$B32),IF(Q$27="kg/t SAR",(Q$28*$B32),IF(Q$27="kg/t DM",((Q$28*($B$28/100))*$B32),IF(Q$27="mg/kg SAR",((Q$28*0.001)*$B32),IF(Q$27="mg/kg DM",(((Q$28*0.001)*($B$28/100))*$B32),0)))))))*2.5</f>
        <v>2215000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200</v>
      </c>
      <c r="C33" s="77">
        <f t="shared" si="6"/>
        <v>140</v>
      </c>
      <c r="D33" s="77">
        <f t="shared" si="7"/>
        <v>54.983999999999995</v>
      </c>
      <c r="E33" s="77">
        <f t="shared" si="8"/>
        <v>42.898000000000003</v>
      </c>
      <c r="F33" s="77">
        <f t="shared" si="9"/>
        <v>7.5273199999999996</v>
      </c>
      <c r="G33" s="77">
        <f t="shared" si="5"/>
        <v>0.15460000000000002</v>
      </c>
      <c r="H33" s="77">
        <f t="shared" si="5"/>
        <v>0.42799999999999999</v>
      </c>
      <c r="I33" s="77">
        <f t="shared" si="5"/>
        <v>0.1</v>
      </c>
      <c r="J33" s="77">
        <f t="shared" si="5"/>
        <v>2E-3</v>
      </c>
      <c r="K33" s="77">
        <f t="shared" si="5"/>
        <v>0.01</v>
      </c>
      <c r="L33" s="77">
        <f t="shared" si="5"/>
        <v>0.04</v>
      </c>
      <c r="M33" s="77">
        <f t="shared" si="5"/>
        <v>0.04</v>
      </c>
      <c r="N33" s="77">
        <f t="shared" si="5"/>
        <v>0</v>
      </c>
      <c r="O33" s="77">
        <f t="shared" si="5"/>
        <v>0</v>
      </c>
      <c r="P33" s="77">
        <f t="shared" si="5"/>
        <v>259.60000000000002</v>
      </c>
      <c r="Q33" s="77">
        <f t="shared" si="10"/>
        <v>2215000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200</v>
      </c>
      <c r="C34" s="77">
        <f t="shared" si="6"/>
        <v>140</v>
      </c>
      <c r="D34" s="77">
        <f t="shared" si="7"/>
        <v>54.983999999999995</v>
      </c>
      <c r="E34" s="77">
        <f t="shared" si="8"/>
        <v>42.898000000000003</v>
      </c>
      <c r="F34" s="77">
        <f t="shared" si="9"/>
        <v>7.5273199999999996</v>
      </c>
      <c r="G34" s="77">
        <f t="shared" si="5"/>
        <v>0.15460000000000002</v>
      </c>
      <c r="H34" s="77">
        <f t="shared" si="5"/>
        <v>0.42799999999999999</v>
      </c>
      <c r="I34" s="77">
        <f t="shared" si="5"/>
        <v>0.1</v>
      </c>
      <c r="J34" s="77">
        <f t="shared" si="5"/>
        <v>2E-3</v>
      </c>
      <c r="K34" s="77">
        <f t="shared" si="5"/>
        <v>0.01</v>
      </c>
      <c r="L34" s="77">
        <f t="shared" si="5"/>
        <v>0.04</v>
      </c>
      <c r="M34" s="77">
        <f t="shared" si="5"/>
        <v>0.04</v>
      </c>
      <c r="N34" s="77">
        <f t="shared" si="5"/>
        <v>0</v>
      </c>
      <c r="O34" s="77">
        <f t="shared" si="5"/>
        <v>0</v>
      </c>
      <c r="P34" s="77">
        <f t="shared" si="5"/>
        <v>259.60000000000002</v>
      </c>
      <c r="Q34" s="77">
        <f t="shared" si="10"/>
        <v>2215000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200</v>
      </c>
      <c r="C35" s="77">
        <f t="shared" si="6"/>
        <v>140</v>
      </c>
      <c r="D35" s="77">
        <f t="shared" si="7"/>
        <v>54.983999999999995</v>
      </c>
      <c r="E35" s="77">
        <f t="shared" si="8"/>
        <v>42.898000000000003</v>
      </c>
      <c r="F35" s="77">
        <f t="shared" si="9"/>
        <v>7.5273199999999996</v>
      </c>
      <c r="G35" s="77">
        <f t="shared" si="5"/>
        <v>0.15460000000000002</v>
      </c>
      <c r="H35" s="77">
        <f t="shared" si="5"/>
        <v>0.42799999999999999</v>
      </c>
      <c r="I35" s="77">
        <f t="shared" si="5"/>
        <v>0.1</v>
      </c>
      <c r="J35" s="77">
        <f t="shared" si="5"/>
        <v>2E-3</v>
      </c>
      <c r="K35" s="77">
        <f t="shared" si="5"/>
        <v>0.01</v>
      </c>
      <c r="L35" s="77">
        <f t="shared" si="5"/>
        <v>0.04</v>
      </c>
      <c r="M35" s="77">
        <f t="shared" si="5"/>
        <v>0.04</v>
      </c>
      <c r="N35" s="77">
        <f t="shared" si="5"/>
        <v>0</v>
      </c>
      <c r="O35" s="77">
        <f t="shared" si="5"/>
        <v>0</v>
      </c>
      <c r="P35" s="77">
        <f t="shared" si="5"/>
        <v>259.60000000000002</v>
      </c>
      <c r="Q35" s="77">
        <f t="shared" si="10"/>
        <v>2215000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200</v>
      </c>
      <c r="C36" s="77">
        <f t="shared" si="6"/>
        <v>140</v>
      </c>
      <c r="D36" s="77">
        <f t="shared" si="7"/>
        <v>54.983999999999995</v>
      </c>
      <c r="E36" s="77">
        <f t="shared" si="8"/>
        <v>42.898000000000003</v>
      </c>
      <c r="F36" s="77">
        <f t="shared" si="9"/>
        <v>7.5273199999999996</v>
      </c>
      <c r="G36" s="77">
        <f t="shared" si="5"/>
        <v>0.15460000000000002</v>
      </c>
      <c r="H36" s="77">
        <f t="shared" si="5"/>
        <v>0.42799999999999999</v>
      </c>
      <c r="I36" s="77">
        <f t="shared" si="5"/>
        <v>0.1</v>
      </c>
      <c r="J36" s="77">
        <f t="shared" si="5"/>
        <v>2E-3</v>
      </c>
      <c r="K36" s="77">
        <f t="shared" si="5"/>
        <v>0.01</v>
      </c>
      <c r="L36" s="77">
        <f t="shared" si="5"/>
        <v>0.04</v>
      </c>
      <c r="M36" s="77">
        <f t="shared" si="5"/>
        <v>0.04</v>
      </c>
      <c r="N36" s="77">
        <f t="shared" si="5"/>
        <v>0</v>
      </c>
      <c r="O36" s="77">
        <f t="shared" si="5"/>
        <v>0</v>
      </c>
      <c r="P36" s="77">
        <f t="shared" si="5"/>
        <v>259.60000000000002</v>
      </c>
      <c r="Q36" s="77">
        <f t="shared" si="10"/>
        <v>2215000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200</v>
      </c>
      <c r="C37" s="77">
        <f t="shared" si="6"/>
        <v>140</v>
      </c>
      <c r="D37" s="77">
        <f t="shared" si="7"/>
        <v>54.983999999999995</v>
      </c>
      <c r="E37" s="77">
        <f t="shared" si="8"/>
        <v>42.898000000000003</v>
      </c>
      <c r="F37" s="77">
        <f t="shared" si="9"/>
        <v>7.5273199999999996</v>
      </c>
      <c r="G37" s="77">
        <f t="shared" si="5"/>
        <v>0.15460000000000002</v>
      </c>
      <c r="H37" s="77">
        <f t="shared" si="5"/>
        <v>0.42799999999999999</v>
      </c>
      <c r="I37" s="77">
        <f t="shared" si="5"/>
        <v>0.1</v>
      </c>
      <c r="J37" s="77">
        <f t="shared" si="5"/>
        <v>2E-3</v>
      </c>
      <c r="K37" s="77">
        <f t="shared" si="5"/>
        <v>0.01</v>
      </c>
      <c r="L37" s="77">
        <f t="shared" si="5"/>
        <v>0.04</v>
      </c>
      <c r="M37" s="77">
        <f t="shared" si="5"/>
        <v>0.04</v>
      </c>
      <c r="N37" s="77">
        <f t="shared" si="5"/>
        <v>0</v>
      </c>
      <c r="O37" s="77">
        <f t="shared" si="5"/>
        <v>0</v>
      </c>
      <c r="P37" s="77">
        <f t="shared" si="5"/>
        <v>259.60000000000002</v>
      </c>
      <c r="Q37" s="77">
        <f t="shared" si="10"/>
        <v>2215000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200</v>
      </c>
      <c r="C38" s="77">
        <f t="shared" si="6"/>
        <v>140</v>
      </c>
      <c r="D38" s="77">
        <f t="shared" si="7"/>
        <v>54.983999999999995</v>
      </c>
      <c r="E38" s="77">
        <f t="shared" si="8"/>
        <v>42.898000000000003</v>
      </c>
      <c r="F38" s="77">
        <f t="shared" si="9"/>
        <v>7.5273199999999996</v>
      </c>
      <c r="G38" s="77">
        <f t="shared" si="5"/>
        <v>0.15460000000000002</v>
      </c>
      <c r="H38" s="77">
        <f t="shared" si="5"/>
        <v>0.42799999999999999</v>
      </c>
      <c r="I38" s="77">
        <f t="shared" si="5"/>
        <v>0.1</v>
      </c>
      <c r="J38" s="77">
        <f t="shared" si="5"/>
        <v>2E-3</v>
      </c>
      <c r="K38" s="77">
        <f t="shared" si="5"/>
        <v>0.01</v>
      </c>
      <c r="L38" s="77">
        <f t="shared" si="5"/>
        <v>0.04</v>
      </c>
      <c r="M38" s="77">
        <f t="shared" si="5"/>
        <v>0.04</v>
      </c>
      <c r="N38" s="77">
        <f t="shared" si="5"/>
        <v>0</v>
      </c>
      <c r="O38" s="77">
        <f t="shared" si="5"/>
        <v>0</v>
      </c>
      <c r="P38" s="77">
        <f t="shared" si="5"/>
        <v>259.60000000000002</v>
      </c>
      <c r="Q38" s="77">
        <f t="shared" si="10"/>
        <v>2215000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Sandy Loam I Arable</v>
      </c>
      <c r="C58" s="13" t="str">
        <f>D16&amp;" I "&amp;(VLOOKUP(D14,Table24567[],6,FALSE))</f>
        <v>Sandy Loam I Grass</v>
      </c>
      <c r="D58" s="13" t="str">
        <f>E16&amp;" I "&amp;(VLOOKUP(E14,Table24567[],6,FALSE))</f>
        <v>Sandy Loam I Grass</v>
      </c>
      <c r="E58" s="13" t="str">
        <f>F16&amp;" I "&amp;(VLOOKUP(F14,Table24567[],6,FALSE))</f>
        <v>Sandy Loam I Grass</v>
      </c>
      <c r="F58" s="13" t="str">
        <f>G16&amp;" I "&amp;(VLOOKUP(G14,Table24567[],6,FALSE))</f>
        <v>Sandy Loam I Arable</v>
      </c>
      <c r="G58" s="13" t="str">
        <f>H16&amp;" I "&amp;(VLOOKUP(H14,Table24567[],6,FALSE))</f>
        <v>Sandy Loam I Arable</v>
      </c>
      <c r="H58" s="13" t="str">
        <f>I16&amp;" I "&amp;(VLOOKUP(I14,Table24567[],6,FALSE))</f>
        <v>Sandy Loam I Arable</v>
      </c>
      <c r="I58" s="13" t="str">
        <f>J16&amp;" I "&amp;(VLOOKUP(J14,Table24567[],6,FALSE))</f>
        <v>Sandy Loam I Arable</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6.2</v>
      </c>
      <c r="D59" s="76">
        <f>VLOOKUP(E$14,Table24567[],5,FALSE)</f>
        <v>6.2</v>
      </c>
      <c r="E59" s="76">
        <f>VLOOKUP(F$14,Table24567[],5,FALSE)</f>
        <v>6.2</v>
      </c>
      <c r="F59" s="76">
        <f>VLOOKUP(G$14,Table24567[],5,FALSE)</f>
        <v>6.7</v>
      </c>
      <c r="G59" s="76">
        <f>VLOOKUP(H$14,Table24567[],5,FALSE)</f>
        <v>6.7</v>
      </c>
      <c r="H59" s="76">
        <f>VLOOKUP(I$14,Table24567[],5,FALSE)</f>
        <v>6.7</v>
      </c>
      <c r="I59" s="76">
        <f>VLOOKUP(J$14,Table24567[],5,FALSE)</f>
        <v>6.7</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200</v>
      </c>
      <c r="C62" s="77">
        <f>B32</f>
        <v>200</v>
      </c>
      <c r="D62" s="77">
        <f>B33</f>
        <v>200</v>
      </c>
      <c r="E62" s="77">
        <f>B34</f>
        <v>200</v>
      </c>
      <c r="F62" s="77">
        <f>B35</f>
        <v>200</v>
      </c>
      <c r="G62" s="77">
        <f>B36</f>
        <v>200</v>
      </c>
      <c r="H62" s="77">
        <f>B37</f>
        <v>200</v>
      </c>
      <c r="I62" s="77">
        <f>B38</f>
        <v>200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B10" zoomScale="60" zoomScaleNormal="60" workbookViewId="0">
      <selection activeCell="C38" sqref="C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Beechdean!C1:D1</f>
        <v>PAN-016059</v>
      </c>
      <c r="D1" s="143"/>
      <c r="E1" s="93" t="s">
        <v>45</v>
      </c>
      <c r="F1" s="39">
        <f>Beechdean!F1</f>
        <v>33</v>
      </c>
      <c r="G1" s="125" t="s">
        <v>43</v>
      </c>
      <c r="H1" s="126"/>
      <c r="I1" s="118">
        <v>4.54</v>
      </c>
      <c r="J1" s="129" t="s">
        <v>153</v>
      </c>
      <c r="K1" s="12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Beechdean!C2:D2</f>
        <v>KP3594VE</v>
      </c>
      <c r="D2" s="145"/>
      <c r="E2" s="93" t="s">
        <v>109</v>
      </c>
      <c r="F2" s="96"/>
      <c r="G2" s="127" t="s">
        <v>110</v>
      </c>
      <c r="H2" s="128"/>
      <c r="I2" s="118">
        <v>142</v>
      </c>
      <c r="J2" s="129" t="s">
        <v>158</v>
      </c>
      <c r="K2" s="129"/>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Beechdean!C3:D3</f>
        <v>Trade Effluent Services Limited</v>
      </c>
      <c r="D3" s="145"/>
      <c r="E3" s="93" t="s">
        <v>108</v>
      </c>
      <c r="F3" s="31" t="s">
        <v>77</v>
      </c>
      <c r="G3" s="129" t="s">
        <v>159</v>
      </c>
      <c r="H3" s="129"/>
      <c r="I3" s="118"/>
      <c r="J3" s="125" t="s">
        <v>154</v>
      </c>
      <c r="K3" s="126"/>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Beechdean!C4:D4</f>
        <v>Gwysaney Home Farm, Denbigh Road, Mold, CH7 5HE</v>
      </c>
      <c r="D4" s="143"/>
      <c r="E4" s="94" t="s">
        <v>1</v>
      </c>
      <c r="F4" s="119" t="s">
        <v>175</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Beechdean!C5:D5</f>
        <v>Gianluca Broadley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Beechdean!C8</f>
        <v>1</v>
      </c>
      <c r="D8" s="60">
        <f>Beechdean!D8</f>
        <v>2</v>
      </c>
      <c r="E8" s="60">
        <f>Beechdean!E8</f>
        <v>3</v>
      </c>
      <c r="F8" s="60">
        <f>Beechdean!F8</f>
        <v>4</v>
      </c>
      <c r="G8" s="60">
        <f>Beechdean!G8</f>
        <v>5</v>
      </c>
      <c r="H8" s="60">
        <f>Beechdean!H8</f>
        <v>6</v>
      </c>
      <c r="I8" s="60">
        <f>Beechdean!I8</f>
        <v>7</v>
      </c>
      <c r="J8" s="60">
        <f>Beechdean!J8</f>
        <v>8</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f>Beechdean!C9</f>
        <v>1</v>
      </c>
      <c r="D9" s="60" t="str">
        <f>Beechdean!D9</f>
        <v>Moderate</v>
      </c>
      <c r="E9" s="60" t="str">
        <f>Beechdean!E9</f>
        <v>Moderate</v>
      </c>
      <c r="F9" s="60" t="str">
        <f>Beechdean!F9</f>
        <v>Moderate</v>
      </c>
      <c r="G9" s="60">
        <f>Beechdean!G9</f>
        <v>1</v>
      </c>
      <c r="H9" s="60">
        <f>Beechdean!H9</f>
        <v>1</v>
      </c>
      <c r="I9" s="60">
        <f>Beechdean!I9</f>
        <v>1</v>
      </c>
      <c r="J9" s="60">
        <f>Beechdean!J9</f>
        <v>1</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Beechdean!C10</f>
        <v>6.7</v>
      </c>
      <c r="D10" s="60">
        <f>Beechdean!D10</f>
        <v>6.6</v>
      </c>
      <c r="E10" s="60">
        <f>Beechdean!E10</f>
        <v>6.9</v>
      </c>
      <c r="F10" s="60">
        <f>Beechdean!F10</f>
        <v>6.3</v>
      </c>
      <c r="G10" s="60">
        <f>Beechdean!G10</f>
        <v>6.5</v>
      </c>
      <c r="H10" s="60">
        <f>Beechdean!H10</f>
        <v>6.8</v>
      </c>
      <c r="I10" s="60">
        <f>Beechdean!I10</f>
        <v>6.6</v>
      </c>
      <c r="J10" s="60">
        <f>Beechdean!J10</f>
        <v>7.2</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Beechdean!C11</f>
        <v>1</v>
      </c>
      <c r="D11" s="60">
        <f>Beechdean!D11</f>
        <v>1</v>
      </c>
      <c r="E11" s="60">
        <f>Beechdean!E11</f>
        <v>1</v>
      </c>
      <c r="F11" s="60">
        <f>Beechdean!F11</f>
        <v>1</v>
      </c>
      <c r="G11" s="60">
        <f>Beechdean!G11</f>
        <v>1</v>
      </c>
      <c r="H11" s="60">
        <f>Beechdean!H11</f>
        <v>3</v>
      </c>
      <c r="I11" s="60">
        <f>Beechdean!I11</f>
        <v>3</v>
      </c>
      <c r="J11" s="60">
        <f>Beechdean!J11</f>
        <v>1</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Beechdean!C12</f>
        <v>1</v>
      </c>
      <c r="D12" s="60">
        <f>Beechdean!D12</f>
        <v>1</v>
      </c>
      <c r="E12" s="60">
        <f>Beechdean!E12</f>
        <v>1</v>
      </c>
      <c r="F12" s="60">
        <f>Beechdean!F12</f>
        <v>1</v>
      </c>
      <c r="G12" s="60">
        <f>Beechdean!G12</f>
        <v>1</v>
      </c>
      <c r="H12" s="60">
        <f>Beechdean!H12</f>
        <v>1</v>
      </c>
      <c r="I12" s="60">
        <f>Beechdean!I12</f>
        <v>1</v>
      </c>
      <c r="J12" s="60">
        <f>Beechdean!J12</f>
        <v>1</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Beechdean!C13</f>
        <v>1</v>
      </c>
      <c r="D13" s="60">
        <f>Beechdean!D13</f>
        <v>1</v>
      </c>
      <c r="E13" s="60">
        <f>Beechdean!E13</f>
        <v>1</v>
      </c>
      <c r="F13" s="60">
        <f>Beechdean!F13</f>
        <v>1</v>
      </c>
      <c r="G13" s="60">
        <f>Beechdean!G13</f>
        <v>1</v>
      </c>
      <c r="H13" s="60">
        <f>Beechdean!H13</f>
        <v>1</v>
      </c>
      <c r="I13" s="60">
        <f>Beechdean!I13</f>
        <v>1</v>
      </c>
      <c r="J13" s="60">
        <f>Beechdean!J13</f>
        <v>1</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Beechdean!C14</f>
        <v>Maize- Silage (30% DM)</v>
      </c>
      <c r="D14" s="102" t="str">
        <f>Beechdean!D14</f>
        <v xml:space="preserve">Grass Silage (25% DM) </v>
      </c>
      <c r="E14" s="102" t="str">
        <f>Beechdean!E14</f>
        <v xml:space="preserve">Grass Silage (25% DM) </v>
      </c>
      <c r="F14" s="102" t="str">
        <f>Beechdean!F14</f>
        <v xml:space="preserve">Grass Silage (25% DM) </v>
      </c>
      <c r="G14" s="102" t="str">
        <f>Beechdean!G14</f>
        <v>Maize- Silage (30% DM)</v>
      </c>
      <c r="H14" s="102" t="str">
        <f>Beechdean!H14</f>
        <v xml:space="preserve">Winter wheat- grain only </v>
      </c>
      <c r="I14" s="102" t="str">
        <f>Beechdean!I14</f>
        <v xml:space="preserve">Winter wheat- grain only </v>
      </c>
      <c r="J14" s="102" t="str">
        <f>Beechdean!J14</f>
        <v xml:space="preserve">Winter wheat- grain only </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7" t="s">
        <v>9</v>
      </c>
      <c r="B15" s="137"/>
      <c r="C15" s="60">
        <f>Beechdean!C15</f>
        <v>40</v>
      </c>
      <c r="D15" s="60">
        <f>Beechdean!D15</f>
        <v>38</v>
      </c>
      <c r="E15" s="60">
        <f>Beechdean!E15</f>
        <v>38</v>
      </c>
      <c r="F15" s="60">
        <f>Beechdean!F15</f>
        <v>38</v>
      </c>
      <c r="G15" s="60">
        <f>Beechdean!G15</f>
        <v>40</v>
      </c>
      <c r="H15" s="60">
        <f>Beechdean!H15</f>
        <v>8</v>
      </c>
      <c r="I15" s="60">
        <f>Beechdean!I15</f>
        <v>8</v>
      </c>
      <c r="J15" s="60">
        <f>Beechdean!J15</f>
        <v>8</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Beechdean!C16</f>
        <v>Sandy Loam</v>
      </c>
      <c r="D16" s="103" t="str">
        <f>Beechdean!D16</f>
        <v>Sandy Loam</v>
      </c>
      <c r="E16" s="103" t="str">
        <f>Beechdean!E16</f>
        <v>Sandy Loam</v>
      </c>
      <c r="F16" s="103" t="str">
        <f>Beechdean!F16</f>
        <v>Sandy Loam</v>
      </c>
      <c r="G16" s="103" t="str">
        <f>Beechdean!G16</f>
        <v>Sandy Loam</v>
      </c>
      <c r="H16" s="103" t="str">
        <f>Beechdean!H16</f>
        <v>Sandy Loam</v>
      </c>
      <c r="I16" s="103" t="str">
        <f>Beechdean!I16</f>
        <v>Sandy Loam</v>
      </c>
      <c r="J16" s="103" t="str">
        <f>Beechdean!J16</f>
        <v>Sandy Loam</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52</v>
      </c>
      <c r="I17" s="28">
        <f t="shared" si="0"/>
        <v>52</v>
      </c>
      <c r="J17" s="28">
        <f t="shared" si="0"/>
        <v>52</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11.626825</v>
      </c>
      <c r="D18" s="16">
        <f>$D32</f>
        <v>11.626825</v>
      </c>
      <c r="E18" s="16">
        <f>$D33</f>
        <v>11.626825</v>
      </c>
      <c r="F18" s="16">
        <f>$D34</f>
        <v>11.626825</v>
      </c>
      <c r="G18" s="16">
        <f>$D35</f>
        <v>11.626825</v>
      </c>
      <c r="H18" s="16">
        <f>$D36</f>
        <v>11.626825</v>
      </c>
      <c r="I18" s="16">
        <f>$D37</f>
        <v>11.626825</v>
      </c>
      <c r="J18" s="16">
        <f>$D38</f>
        <v>11.626825</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-44.373175000000003</v>
      </c>
      <c r="D19" s="16">
        <f t="shared" ref="D19:V19" si="1">D18-D17</f>
        <v>-52.973174999999998</v>
      </c>
      <c r="E19" s="16">
        <f t="shared" si="1"/>
        <v>-52.973174999999998</v>
      </c>
      <c r="F19" s="16">
        <f t="shared" si="1"/>
        <v>-52.973174999999998</v>
      </c>
      <c r="G19" s="16">
        <f t="shared" si="1"/>
        <v>-44.373175000000003</v>
      </c>
      <c r="H19" s="16">
        <f t="shared" si="1"/>
        <v>-40.373175000000003</v>
      </c>
      <c r="I19" s="16">
        <f t="shared" si="1"/>
        <v>-40.373175000000003</v>
      </c>
      <c r="J19" s="16">
        <f t="shared" si="1"/>
        <v>-40.373175000000003</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176</v>
      </c>
      <c r="D21" s="28">
        <f t="shared" ref="D21:V21" si="2">(VLOOKUP(D$14,$AI2:$AK26,3,FALSE))*D$15</f>
        <v>228</v>
      </c>
      <c r="E21" s="28">
        <f t="shared" si="2"/>
        <v>228</v>
      </c>
      <c r="F21" s="28">
        <f t="shared" si="2"/>
        <v>228</v>
      </c>
      <c r="G21" s="28">
        <f t="shared" si="2"/>
        <v>176</v>
      </c>
      <c r="H21" s="28">
        <f t="shared" si="2"/>
        <v>44</v>
      </c>
      <c r="I21" s="28">
        <f t="shared" si="2"/>
        <v>44</v>
      </c>
      <c r="J21" s="28">
        <f t="shared" si="2"/>
        <v>44</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47.89875</v>
      </c>
      <c r="D22" s="16">
        <f>$E32</f>
        <v>47.89875</v>
      </c>
      <c r="E22" s="16">
        <f>$E33</f>
        <v>47.89875</v>
      </c>
      <c r="F22" s="16">
        <f>$E34</f>
        <v>47.89875</v>
      </c>
      <c r="G22" s="16">
        <f>$E35</f>
        <v>47.89875</v>
      </c>
      <c r="H22" s="16">
        <f>$E36</f>
        <v>47.89875</v>
      </c>
      <c r="I22" s="16">
        <f>$E37</f>
        <v>47.89875</v>
      </c>
      <c r="J22" s="16">
        <f>$E38</f>
        <v>47.89875</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-128.10124999999999</v>
      </c>
      <c r="D23" s="16">
        <f t="shared" ref="D23:V23" si="3">D22-D21</f>
        <v>-180.10124999999999</v>
      </c>
      <c r="E23" s="16">
        <f t="shared" si="3"/>
        <v>-180.10124999999999</v>
      </c>
      <c r="F23" s="16">
        <f t="shared" si="3"/>
        <v>-180.10124999999999</v>
      </c>
      <c r="G23" s="16">
        <f t="shared" si="3"/>
        <v>-128.10124999999999</v>
      </c>
      <c r="H23" s="16">
        <f t="shared" si="3"/>
        <v>3.8987499999999997</v>
      </c>
      <c r="I23" s="16">
        <f t="shared" si="3"/>
        <v>3.8987499999999997</v>
      </c>
      <c r="J23" s="16">
        <f t="shared" si="3"/>
        <v>3.8987499999999997</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INCREASE</v>
      </c>
      <c r="I24" s="26" t="str">
        <f t="shared" si="4"/>
        <v>INCREASE</v>
      </c>
      <c r="J24" s="26" t="str">
        <f t="shared" si="4"/>
        <v>INCREASE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1.27</v>
      </c>
      <c r="C28" s="15">
        <v>0.01</v>
      </c>
      <c r="D28" s="15">
        <v>20.3</v>
      </c>
      <c r="E28" s="15">
        <v>159</v>
      </c>
      <c r="F28" s="15">
        <v>15.8</v>
      </c>
      <c r="G28" s="15">
        <v>0.53</v>
      </c>
      <c r="H28" s="15">
        <v>0.8</v>
      </c>
      <c r="I28" s="15">
        <v>0.5</v>
      </c>
      <c r="J28" s="15">
        <v>0.01</v>
      </c>
      <c r="K28" s="23">
        <v>0.05</v>
      </c>
      <c r="L28" s="15">
        <v>0.2</v>
      </c>
      <c r="M28" s="15">
        <v>1.38</v>
      </c>
      <c r="N28" s="15"/>
      <c r="O28" s="15"/>
      <c r="P28" s="15">
        <v>15.7</v>
      </c>
      <c r="Q28" s="15">
        <v>21</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11.626825</v>
      </c>
      <c r="E31" s="77">
        <f>(IF(E$27="%w/w SAR",((E$28*10)*$B31),IF(E$27="%w/w DM",(((E$28*10)*($B$28/100))*$B31),IF(E$27="kg/t SAR",(E$28*$B31),IF(E$27="kg/t DM",((E$28*($B$28/100))*$B31),IF(E$27="mg/kg SAR",((E$28*0.001)*$B31),IF(E$27="mg/kg DM",(((E$28*0.001)*($B$28/100))*$B31),"0")))))))*1.205</f>
        <v>47.89875</v>
      </c>
      <c r="F31" s="77">
        <f>(IF(F$27="%w/w SAR",((F$28*10)*$B31),IF(F$27="%w/w DM",(((F$28*10)*($B$28/100))*$B31),IF(F$27="kg/t SAR",(F$28*$B31),IF(F$27="kg/t DM",((F$28*($B$28/100))*$B31),IF(F$27="mg/kg SAR",((F$28*0.001)*$B31),IF(F$27="mg/kg DM",(((F$28*0.001)*($B$28/100))*$B31),"0")))))))*1.658</f>
        <v>6.5491000000000001</v>
      </c>
      <c r="G31" s="77">
        <f t="shared" ref="G31:P46" si="5">IF(G$27="%w/w SAR",((G$28*10)*$B31),IF(G$27="%w/w DM",(((G$28*10)*($B$28/100))*$B31),IF(G$27="kg/t SAR",(G$28*$B31),IF(G$27="kg/t DM",((G$28*($B$28/100))*$B31),IF(G$27="mg/kg SAR",((G$28*0.001)*$B31),IF(G$27="mg/kg DM",(((G$28*0.001)*($B$28/100))*$B31),0))))))</f>
        <v>0.13250000000000003</v>
      </c>
      <c r="H31" s="77">
        <f t="shared" si="5"/>
        <v>0.2</v>
      </c>
      <c r="I31" s="77">
        <f t="shared" si="5"/>
        <v>0.125</v>
      </c>
      <c r="J31" s="77">
        <f t="shared" si="5"/>
        <v>2.5000000000000001E-3</v>
      </c>
      <c r="K31" s="77">
        <f t="shared" si="5"/>
        <v>1.2500000000000001E-2</v>
      </c>
      <c r="L31" s="77">
        <f t="shared" si="5"/>
        <v>0.05</v>
      </c>
      <c r="M31" s="77">
        <f t="shared" si="5"/>
        <v>0.34499999999999997</v>
      </c>
      <c r="N31" s="77">
        <f t="shared" si="5"/>
        <v>0</v>
      </c>
      <c r="O31" s="77">
        <f t="shared" si="5"/>
        <v>0</v>
      </c>
      <c r="P31" s="77">
        <f t="shared" si="5"/>
        <v>3.9249999999999998</v>
      </c>
      <c r="Q31" s="77">
        <f>(IF(Q$27="%w/w SAR",((Q$28*10)*$B31),IF(Q$27="%w/w DM",(((Q$28*10)*($B$28/100))*$B31),IF(Q$27="kg/t SAR",(Q$28*$B31),IF(Q$27="kg/t DM",((Q$28*($B$28/100))*$B31),IF(Q$27="mg/kg SAR",((Q$28*0.001)*$B31),IF(Q$27="mg/kg DM",(((Q$28*0.001)*($B$28/100))*$B31),0)))))))*2.5</f>
        <v>13.125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11.626825</v>
      </c>
      <c r="E32" s="77">
        <f t="shared" ref="E32:E50" si="8">(IF(E$27="%w/w SAR",((E$28*10)*$B32),IF(E$27="%w/w DM",(((E$28*10)*($B$28/100))*$B32),IF(E$27="kg/t SAR",(E$28*$B32),IF(E$27="kg/t DM",((E$28*($B$28/100))*$B32),IF(E$27="mg/kg SAR",((E$28*0.001)*$B32),IF(E$27="mg/kg DM",(((E$28*0.001)*($B$28/100))*$B32),"0")))))))*1.205</f>
        <v>47.89875</v>
      </c>
      <c r="F32" s="77">
        <f t="shared" ref="F32:F50" si="9">(IF(F$27="%w/w SAR",((F$28*10)*$B32),IF(F$27="%w/w DM",(((F$28*10)*($B$28/100))*$B32),IF(F$27="kg/t SAR",(F$28*$B32),IF(F$27="kg/t DM",((F$28*($B$28/100))*$B32),IF(F$27="mg/kg SAR",((F$28*0.001)*$B32),IF(F$27="mg/kg DM",(((F$28*0.001)*($B$28/100))*$B32),"0")))))))*1.658</f>
        <v>6.5491000000000001</v>
      </c>
      <c r="G32" s="77">
        <f t="shared" si="5"/>
        <v>0.13250000000000003</v>
      </c>
      <c r="H32" s="77">
        <f t="shared" si="5"/>
        <v>0.2</v>
      </c>
      <c r="I32" s="77">
        <f t="shared" si="5"/>
        <v>0.125</v>
      </c>
      <c r="J32" s="77">
        <f t="shared" si="5"/>
        <v>2.5000000000000001E-3</v>
      </c>
      <c r="K32" s="77">
        <f t="shared" si="5"/>
        <v>1.2500000000000001E-2</v>
      </c>
      <c r="L32" s="77">
        <f t="shared" si="5"/>
        <v>0.05</v>
      </c>
      <c r="M32" s="77">
        <f t="shared" si="5"/>
        <v>0.34499999999999997</v>
      </c>
      <c r="N32" s="77">
        <f t="shared" si="5"/>
        <v>0</v>
      </c>
      <c r="O32" s="77">
        <f t="shared" si="5"/>
        <v>0</v>
      </c>
      <c r="P32" s="77">
        <f t="shared" si="5"/>
        <v>3.9249999999999998</v>
      </c>
      <c r="Q32" s="77">
        <f t="shared" ref="Q32:Q50" si="10">(IF(Q$27="%w/w SAR",((Q$28*10)*$B32),IF(Q$27="%w/w DM",(((Q$28*10)*($B$28/100))*$B32),IF(Q$27="kg/t SAR",(Q$28*$B32),IF(Q$27="kg/t DM",((Q$28*($B$28/100))*$B32),IF(Q$27="mg/kg SAR",((Q$28*0.001)*$B32),IF(Q$27="mg/kg DM",(((Q$28*0.001)*($B$28/100))*$B32),0)))))))*2.5</f>
        <v>13.125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25</v>
      </c>
      <c r="D33" s="77">
        <f t="shared" si="7"/>
        <v>11.626825</v>
      </c>
      <c r="E33" s="77">
        <f t="shared" si="8"/>
        <v>47.89875</v>
      </c>
      <c r="F33" s="77">
        <f t="shared" si="9"/>
        <v>6.5491000000000001</v>
      </c>
      <c r="G33" s="77">
        <f t="shared" si="5"/>
        <v>0.13250000000000003</v>
      </c>
      <c r="H33" s="77">
        <f t="shared" si="5"/>
        <v>0.2</v>
      </c>
      <c r="I33" s="77">
        <f t="shared" si="5"/>
        <v>0.125</v>
      </c>
      <c r="J33" s="77">
        <f t="shared" si="5"/>
        <v>2.5000000000000001E-3</v>
      </c>
      <c r="K33" s="77">
        <f t="shared" si="5"/>
        <v>1.2500000000000001E-2</v>
      </c>
      <c r="L33" s="77">
        <f t="shared" si="5"/>
        <v>0.05</v>
      </c>
      <c r="M33" s="77">
        <f t="shared" si="5"/>
        <v>0.34499999999999997</v>
      </c>
      <c r="N33" s="77">
        <f t="shared" si="5"/>
        <v>0</v>
      </c>
      <c r="O33" s="77">
        <f t="shared" si="5"/>
        <v>0</v>
      </c>
      <c r="P33" s="77">
        <f t="shared" si="5"/>
        <v>3.9249999999999998</v>
      </c>
      <c r="Q33" s="77">
        <f t="shared" si="10"/>
        <v>13.125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25</v>
      </c>
      <c r="D34" s="77">
        <f t="shared" si="7"/>
        <v>11.626825</v>
      </c>
      <c r="E34" s="77">
        <f t="shared" si="8"/>
        <v>47.89875</v>
      </c>
      <c r="F34" s="77">
        <f t="shared" si="9"/>
        <v>6.5491000000000001</v>
      </c>
      <c r="G34" s="77">
        <f t="shared" si="5"/>
        <v>0.13250000000000003</v>
      </c>
      <c r="H34" s="77">
        <f t="shared" si="5"/>
        <v>0.2</v>
      </c>
      <c r="I34" s="77">
        <f t="shared" si="5"/>
        <v>0.125</v>
      </c>
      <c r="J34" s="77">
        <f t="shared" si="5"/>
        <v>2.5000000000000001E-3</v>
      </c>
      <c r="K34" s="77">
        <f t="shared" si="5"/>
        <v>1.2500000000000001E-2</v>
      </c>
      <c r="L34" s="77">
        <f t="shared" si="5"/>
        <v>0.05</v>
      </c>
      <c r="M34" s="77">
        <f t="shared" si="5"/>
        <v>0.34499999999999997</v>
      </c>
      <c r="N34" s="77">
        <f t="shared" si="5"/>
        <v>0</v>
      </c>
      <c r="O34" s="77">
        <f t="shared" si="5"/>
        <v>0</v>
      </c>
      <c r="P34" s="77">
        <f t="shared" si="5"/>
        <v>3.9249999999999998</v>
      </c>
      <c r="Q34" s="77">
        <f t="shared" si="10"/>
        <v>13.125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25</v>
      </c>
      <c r="D35" s="77">
        <f t="shared" si="7"/>
        <v>11.626825</v>
      </c>
      <c r="E35" s="77">
        <f t="shared" si="8"/>
        <v>47.89875</v>
      </c>
      <c r="F35" s="77">
        <f t="shared" si="9"/>
        <v>6.5491000000000001</v>
      </c>
      <c r="G35" s="77">
        <f t="shared" si="5"/>
        <v>0.13250000000000003</v>
      </c>
      <c r="H35" s="77">
        <f t="shared" si="5"/>
        <v>0.2</v>
      </c>
      <c r="I35" s="77">
        <f t="shared" si="5"/>
        <v>0.125</v>
      </c>
      <c r="J35" s="77">
        <f t="shared" si="5"/>
        <v>2.5000000000000001E-3</v>
      </c>
      <c r="K35" s="77">
        <f t="shared" si="5"/>
        <v>1.2500000000000001E-2</v>
      </c>
      <c r="L35" s="77">
        <f t="shared" si="5"/>
        <v>0.05</v>
      </c>
      <c r="M35" s="77">
        <f t="shared" si="5"/>
        <v>0.34499999999999997</v>
      </c>
      <c r="N35" s="77">
        <f t="shared" si="5"/>
        <v>0</v>
      </c>
      <c r="O35" s="77">
        <f t="shared" si="5"/>
        <v>0</v>
      </c>
      <c r="P35" s="77">
        <f t="shared" si="5"/>
        <v>3.9249999999999998</v>
      </c>
      <c r="Q35" s="77">
        <f t="shared" si="10"/>
        <v>13.125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25</v>
      </c>
      <c r="D36" s="77">
        <f t="shared" si="7"/>
        <v>11.626825</v>
      </c>
      <c r="E36" s="77">
        <f t="shared" si="8"/>
        <v>47.89875</v>
      </c>
      <c r="F36" s="77">
        <f t="shared" si="9"/>
        <v>6.5491000000000001</v>
      </c>
      <c r="G36" s="77">
        <f t="shared" si="5"/>
        <v>0.13250000000000003</v>
      </c>
      <c r="H36" s="77">
        <f t="shared" si="5"/>
        <v>0.2</v>
      </c>
      <c r="I36" s="77">
        <f t="shared" si="5"/>
        <v>0.125</v>
      </c>
      <c r="J36" s="77">
        <f t="shared" si="5"/>
        <v>2.5000000000000001E-3</v>
      </c>
      <c r="K36" s="77">
        <f t="shared" si="5"/>
        <v>1.2500000000000001E-2</v>
      </c>
      <c r="L36" s="77">
        <f t="shared" si="5"/>
        <v>0.05</v>
      </c>
      <c r="M36" s="77">
        <f t="shared" si="5"/>
        <v>0.34499999999999997</v>
      </c>
      <c r="N36" s="77">
        <f t="shared" si="5"/>
        <v>0</v>
      </c>
      <c r="O36" s="77">
        <f t="shared" si="5"/>
        <v>0</v>
      </c>
      <c r="P36" s="77">
        <f t="shared" si="5"/>
        <v>3.9249999999999998</v>
      </c>
      <c r="Q36" s="77">
        <f t="shared" si="10"/>
        <v>13.125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250</v>
      </c>
      <c r="C37" s="77">
        <f t="shared" si="6"/>
        <v>25</v>
      </c>
      <c r="D37" s="77">
        <f t="shared" si="7"/>
        <v>11.626825</v>
      </c>
      <c r="E37" s="77">
        <f t="shared" si="8"/>
        <v>47.89875</v>
      </c>
      <c r="F37" s="77">
        <f t="shared" si="9"/>
        <v>6.5491000000000001</v>
      </c>
      <c r="G37" s="77">
        <f t="shared" si="5"/>
        <v>0.13250000000000003</v>
      </c>
      <c r="H37" s="77">
        <f t="shared" si="5"/>
        <v>0.2</v>
      </c>
      <c r="I37" s="77">
        <f t="shared" si="5"/>
        <v>0.125</v>
      </c>
      <c r="J37" s="77">
        <f t="shared" si="5"/>
        <v>2.5000000000000001E-3</v>
      </c>
      <c r="K37" s="77">
        <f t="shared" si="5"/>
        <v>1.2500000000000001E-2</v>
      </c>
      <c r="L37" s="77">
        <f t="shared" si="5"/>
        <v>0.05</v>
      </c>
      <c r="M37" s="77">
        <f t="shared" si="5"/>
        <v>0.34499999999999997</v>
      </c>
      <c r="N37" s="77">
        <f t="shared" si="5"/>
        <v>0</v>
      </c>
      <c r="O37" s="77">
        <f t="shared" si="5"/>
        <v>0</v>
      </c>
      <c r="P37" s="77">
        <f t="shared" si="5"/>
        <v>3.9249999999999998</v>
      </c>
      <c r="Q37" s="77">
        <f t="shared" si="10"/>
        <v>13.125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250</v>
      </c>
      <c r="C38" s="77">
        <f t="shared" si="6"/>
        <v>25</v>
      </c>
      <c r="D38" s="77">
        <f t="shared" si="7"/>
        <v>11.626825</v>
      </c>
      <c r="E38" s="77">
        <f t="shared" si="8"/>
        <v>47.89875</v>
      </c>
      <c r="F38" s="77">
        <f t="shared" si="9"/>
        <v>6.5491000000000001</v>
      </c>
      <c r="G38" s="77">
        <f t="shared" si="5"/>
        <v>0.13250000000000003</v>
      </c>
      <c r="H38" s="77">
        <f t="shared" si="5"/>
        <v>0.2</v>
      </c>
      <c r="I38" s="77">
        <f t="shared" si="5"/>
        <v>0.125</v>
      </c>
      <c r="J38" s="77">
        <f t="shared" si="5"/>
        <v>2.5000000000000001E-3</v>
      </c>
      <c r="K38" s="77">
        <f t="shared" si="5"/>
        <v>1.2500000000000001E-2</v>
      </c>
      <c r="L38" s="77">
        <f t="shared" si="5"/>
        <v>0.05</v>
      </c>
      <c r="M38" s="77">
        <f t="shared" si="5"/>
        <v>0.34499999999999997</v>
      </c>
      <c r="N38" s="77">
        <f t="shared" si="5"/>
        <v>0</v>
      </c>
      <c r="O38" s="77">
        <f t="shared" si="5"/>
        <v>0</v>
      </c>
      <c r="P38" s="77">
        <f t="shared" si="5"/>
        <v>3.9249999999999998</v>
      </c>
      <c r="Q38" s="77">
        <f t="shared" si="10"/>
        <v>13.125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Sandy Loam I Arable</v>
      </c>
      <c r="C58" s="13" t="str">
        <f>D16&amp;" I "&amp;(VLOOKUP(D14,Table2456[],6,FALSE))</f>
        <v>Sandy Loam I Grass</v>
      </c>
      <c r="D58" s="13" t="str">
        <f>E16&amp;" I "&amp;(VLOOKUP(E14,Table2456[],6,FALSE))</f>
        <v>Sandy Loam I Grass</v>
      </c>
      <c r="E58" s="13" t="str">
        <f>F16&amp;" I "&amp;(VLOOKUP(F14,Table2456[],6,FALSE))</f>
        <v>Sandy Loam I Grass</v>
      </c>
      <c r="F58" s="13" t="str">
        <f>G16&amp;" I "&amp;(VLOOKUP(G14,Table2456[],6,FALSE))</f>
        <v>Sandy Loam I Arable</v>
      </c>
      <c r="G58" s="13" t="str">
        <f>H16&amp;" I "&amp;(VLOOKUP(H14,Table2456[],6,FALSE))</f>
        <v>Sandy Loam I Arable</v>
      </c>
      <c r="H58" s="13" t="str">
        <f>I16&amp;" I "&amp;(VLOOKUP(I14,Table2456[],6,FALSE))</f>
        <v>Sandy Loam I Arable</v>
      </c>
      <c r="I58" s="13" t="str">
        <f>J16&amp;" I "&amp;(VLOOKUP(J14,Table2456[],6,FALSE))</f>
        <v>Sandy Loam I Arable</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6.2</v>
      </c>
      <c r="D59" s="76">
        <f>VLOOKUP(E$14,Table2456[],5,FALSE)</f>
        <v>6.2</v>
      </c>
      <c r="E59" s="76">
        <f>VLOOKUP(F$14,Table2456[],5,FALSE)</f>
        <v>6.2</v>
      </c>
      <c r="F59" s="76">
        <f>VLOOKUP(G$14,Table2456[],5,FALSE)</f>
        <v>6.7</v>
      </c>
      <c r="G59" s="76">
        <f>VLOOKUP(H$14,Table2456[],5,FALSE)</f>
        <v>6.7</v>
      </c>
      <c r="H59" s="76">
        <f>VLOOKUP(I$14,Table2456[],5,FALSE)</f>
        <v>6.7</v>
      </c>
      <c r="I59" s="76">
        <f>VLOOKUP(J$14,Table2456[],5,FALSE)</f>
        <v>6.7</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6.7</v>
      </c>
      <c r="C60" s="76">
        <f t="shared" ref="C60:U60" si="14">D10</f>
        <v>6.6</v>
      </c>
      <c r="D60" s="76">
        <f t="shared" si="14"/>
        <v>6.9</v>
      </c>
      <c r="E60" s="76">
        <f t="shared" si="14"/>
        <v>6.3</v>
      </c>
      <c r="F60" s="76">
        <f t="shared" si="14"/>
        <v>6.5</v>
      </c>
      <c r="G60" s="76">
        <f t="shared" si="14"/>
        <v>6.8</v>
      </c>
      <c r="H60" s="76">
        <f t="shared" si="14"/>
        <v>6.6</v>
      </c>
      <c r="I60" s="76">
        <f t="shared" si="14"/>
        <v>7.2</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7</v>
      </c>
      <c r="C61" s="76">
        <f t="shared" si="15"/>
        <v>5</v>
      </c>
      <c r="D61" s="76">
        <f t="shared" si="15"/>
        <v>5</v>
      </c>
      <c r="E61" s="76">
        <f t="shared" si="15"/>
        <v>5</v>
      </c>
      <c r="F61" s="76">
        <f t="shared" si="15"/>
        <v>7</v>
      </c>
      <c r="G61" s="76">
        <f t="shared" si="15"/>
        <v>7</v>
      </c>
      <c r="H61" s="76">
        <f t="shared" si="15"/>
        <v>7</v>
      </c>
      <c r="I61" s="76">
        <f t="shared" si="15"/>
        <v>7</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-1.9999999999999973</v>
      </c>
      <c r="D64" s="77">
        <f t="shared" si="17"/>
        <v>-3.5000000000000009</v>
      </c>
      <c r="E64" s="77">
        <f t="shared" si="17"/>
        <v>-0.49999999999999822</v>
      </c>
      <c r="F64" s="77">
        <f t="shared" si="17"/>
        <v>1.4000000000000012</v>
      </c>
      <c r="G64" s="77">
        <f t="shared" si="17"/>
        <v>-0.69999999999999751</v>
      </c>
      <c r="H64" s="77">
        <f t="shared" si="17"/>
        <v>0.70000000000000373</v>
      </c>
      <c r="I64" s="77">
        <f t="shared" si="17"/>
        <v>-3.5</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1.9999999999999973</v>
      </c>
      <c r="D65" s="77">
        <f t="shared" si="18"/>
        <v>3.5000000000000009</v>
      </c>
      <c r="E65" s="77">
        <f t="shared" si="18"/>
        <v>0.49999999999999822</v>
      </c>
      <c r="F65" s="77">
        <f t="shared" si="18"/>
        <v>-1.4000000000000012</v>
      </c>
      <c r="G65" s="77">
        <f t="shared" si="18"/>
        <v>0.69999999999999751</v>
      </c>
      <c r="H65" s="77">
        <f t="shared" si="18"/>
        <v>-0.70000000000000373</v>
      </c>
      <c r="I65" s="77">
        <f t="shared" si="18"/>
        <v>3.5</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UNDER</v>
      </c>
      <c r="G66" s="78" t="str">
        <f t="shared" si="19"/>
        <v>OVER</v>
      </c>
      <c r="H66" s="78" t="str">
        <f t="shared" si="19"/>
        <v>UNDER</v>
      </c>
      <c r="I66" s="78" t="str">
        <f t="shared" si="19"/>
        <v>OVER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6" t="s">
        <v>84</v>
      </c>
      <c r="B1" s="38" t="str">
        <f>Beechdean!B29</f>
        <v>Application Rate</v>
      </c>
      <c r="C1" s="38" t="str">
        <f>Beechdean!C29</f>
        <v>Nitrogen Addition</v>
      </c>
      <c r="D1" s="38" t="str">
        <f>Beechdean!D29</f>
        <v>Phosphate Addition</v>
      </c>
      <c r="E1" s="38" t="str">
        <f>Beechdean!E29</f>
        <v>Potash  Addition</v>
      </c>
      <c r="F1" s="38" t="str">
        <f>Beechdean!F29</f>
        <v>Mg Oxide Addition</v>
      </c>
      <c r="G1" s="38" t="str">
        <f>Beechdean!G29</f>
        <v>Copper Addition</v>
      </c>
      <c r="H1" s="38" t="str">
        <f>Beechdean!H29</f>
        <v>Zinc Addition</v>
      </c>
      <c r="I1" s="38" t="str">
        <f>Beechdean!I29</f>
        <v>Lead Addition</v>
      </c>
      <c r="J1" s="38" t="str">
        <f>Beechdean!J29</f>
        <v>Cadmium Addition</v>
      </c>
      <c r="K1" s="38" t="str">
        <f>Beechdean!K29</f>
        <v>Mercury Addition</v>
      </c>
      <c r="L1" s="38" t="str">
        <f>Beechdean!L29</f>
        <v>Nickel Addition</v>
      </c>
      <c r="M1" s="38" t="str">
        <f>Beechdean!M29</f>
        <v>Chromium Addition</v>
      </c>
      <c r="N1" s="38" t="str">
        <f>Beechdean!N29</f>
        <v>Aluminium Addition</v>
      </c>
      <c r="O1" s="38" t="str">
        <f>Beechdean!O29</f>
        <v>Iron Addition</v>
      </c>
      <c r="P1" s="38" t="str">
        <f>Beechdean!P29</f>
        <v xml:space="preserve">Sodium Addition                 </v>
      </c>
      <c r="Q1" s="38" t="str">
        <f>Beechdean!Q29</f>
        <v>SO3  Addition                             kg/ha</v>
      </c>
      <c r="R1" s="38" t="str">
        <f>Beechdean!R29</f>
        <v xml:space="preserve">Selenium Addition </v>
      </c>
      <c r="S1" s="38" t="str">
        <f>Beechdean!S29</f>
        <v xml:space="preserve">Arsenic  Addition  </v>
      </c>
      <c r="T1" s="38" t="str">
        <f>Beechdean!T29</f>
        <v xml:space="preserve">Molybdenum Addition  </v>
      </c>
      <c r="U1" s="38" t="str">
        <f>Beechdean!U29</f>
        <v xml:space="preserve">Fluoride Addition </v>
      </c>
    </row>
    <row r="2" spans="1:21" ht="25" x14ac:dyDescent="0.25">
      <c r="A2" s="146"/>
      <c r="B2" s="38" t="str">
        <f>Beechdean!B30</f>
        <v>tonnes/ha</v>
      </c>
      <c r="C2" s="38" t="str">
        <f>Beechdean!C30</f>
        <v>kg/ha</v>
      </c>
      <c r="D2" s="38" t="str">
        <f>Beechdean!D30</f>
        <v>P2O5 
kg/ha</v>
      </c>
      <c r="E2" s="38" t="str">
        <f>Beechdean!E30</f>
        <v>K2O 
kg/ha</v>
      </c>
      <c r="F2" s="38" t="str">
        <f>Beechdean!F30</f>
        <v>MgO 
kg/ha</v>
      </c>
      <c r="G2" s="38" t="str">
        <f>Beechdean!G30</f>
        <v>kg/ha</v>
      </c>
      <c r="H2" s="38" t="str">
        <f>Beechdean!H30</f>
        <v>kg/ha</v>
      </c>
      <c r="I2" s="38" t="str">
        <f>Beechdean!I30</f>
        <v>kg/ha</v>
      </c>
      <c r="J2" s="38" t="str">
        <f>Beechdean!J30</f>
        <v>kg/ha</v>
      </c>
      <c r="K2" s="38" t="str">
        <f>Beechdean!K30</f>
        <v>kg/ha</v>
      </c>
      <c r="L2" s="38" t="str">
        <f>Beechdean!L30</f>
        <v>kg/ha</v>
      </c>
      <c r="M2" s="38" t="str">
        <f>Beechdean!M30</f>
        <v>kg/ha</v>
      </c>
      <c r="N2" s="38" t="str">
        <f>Beechdean!N30</f>
        <v>kg/ha</v>
      </c>
      <c r="O2" s="38" t="str">
        <f>Beechdean!O30</f>
        <v>kg/ha</v>
      </c>
      <c r="P2" s="38" t="str">
        <f>Beechdean!P30</f>
        <v>kg/ha</v>
      </c>
      <c r="Q2" s="38" t="str">
        <f>Beechdean!Q30</f>
        <v>kg/ha</v>
      </c>
      <c r="R2" s="38" t="str">
        <f>Beechdean!R30</f>
        <v>kg/ha</v>
      </c>
      <c r="S2" s="38" t="str">
        <f>Beechdean!S30</f>
        <v>kg/ha</v>
      </c>
      <c r="T2" s="38" t="str">
        <f>Beechdean!T30</f>
        <v>kg/ha</v>
      </c>
      <c r="U2" s="38" t="str">
        <f>Beechdean!U30</f>
        <v>kg/ha</v>
      </c>
    </row>
    <row r="3" spans="1:21" x14ac:dyDescent="0.25">
      <c r="A3" s="36">
        <v>1</v>
      </c>
      <c r="B3" s="33">
        <f>Beechdean!B31</f>
        <v>250</v>
      </c>
      <c r="C3" s="33">
        <f>Beechdean!C31</f>
        <v>50</v>
      </c>
      <c r="D3" s="33">
        <f>Beechdean!D31</f>
        <v>20.619000000000003</v>
      </c>
      <c r="E3" s="33">
        <f>Beechdean!E31</f>
        <v>26.630500000000005</v>
      </c>
      <c r="F3" s="33">
        <f>Beechdean!F31</f>
        <v>5.4713999999999992</v>
      </c>
      <c r="G3" s="33">
        <f>Beechdean!G31</f>
        <v>0.05</v>
      </c>
      <c r="H3" s="33">
        <f>Beechdean!H31</f>
        <v>0.125</v>
      </c>
      <c r="I3" s="33">
        <f>Beechdean!I31</f>
        <v>0.125</v>
      </c>
      <c r="J3" s="33">
        <f>Beechdean!J31</f>
        <v>2.5000000000000001E-3</v>
      </c>
      <c r="K3" s="33">
        <f>Beechdean!K31</f>
        <v>1.2500000000000001E-2</v>
      </c>
      <c r="L3" s="33">
        <f>Beechdean!L31</f>
        <v>0.05</v>
      </c>
      <c r="M3" s="33">
        <f>Beechdean!M31</f>
        <v>0.05</v>
      </c>
      <c r="N3" s="33">
        <f>Beechdean!N31</f>
        <v>0</v>
      </c>
      <c r="O3" s="33">
        <f>Beechdean!O31</f>
        <v>0</v>
      </c>
      <c r="P3" s="33">
        <f>Beechdean!P31</f>
        <v>111.25</v>
      </c>
      <c r="Q3" s="33">
        <f>Beechdean!Q31</f>
        <v>25.125000000000007</v>
      </c>
      <c r="R3" s="33">
        <f>Beechdean!R31</f>
        <v>0</v>
      </c>
      <c r="S3" s="33">
        <f>Beechdean!S31</f>
        <v>0</v>
      </c>
      <c r="T3" s="33">
        <f>Beechdean!T31</f>
        <v>0</v>
      </c>
      <c r="U3" s="33">
        <f>Beechdean!U31</f>
        <v>0</v>
      </c>
    </row>
    <row r="4" spans="1:21" x14ac:dyDescent="0.25">
      <c r="A4" s="36">
        <v>2</v>
      </c>
      <c r="B4" s="33">
        <f>'Croda Goole'!B31</f>
        <v>34</v>
      </c>
      <c r="C4" s="33">
        <f>'Croda Goole'!C31</f>
        <v>88.4</v>
      </c>
      <c r="D4" s="33">
        <f>'Croda Goole'!D31</f>
        <v>54.292118000000002</v>
      </c>
      <c r="E4" s="33">
        <f>'Croda Goole'!E31</f>
        <v>12.127120000000001</v>
      </c>
      <c r="F4" s="33">
        <f>'Croda Goole'!F31</f>
        <v>4.9720104000000003</v>
      </c>
      <c r="G4" s="33">
        <f>'Croda Goole'!G31</f>
        <v>3.0939999999999999E-2</v>
      </c>
      <c r="H4" s="33">
        <f>'Croda Goole'!H31</f>
        <v>0.53379999999999994</v>
      </c>
      <c r="I4" s="33">
        <f>'Croda Goole'!I31</f>
        <v>1.7000000000000001E-2</v>
      </c>
      <c r="J4" s="33">
        <f>'Croda Goole'!J31</f>
        <v>3.4000000000000002E-4</v>
      </c>
      <c r="K4" s="33">
        <f>'Croda Goole'!K31</f>
        <v>1.7000000000000001E-3</v>
      </c>
      <c r="L4" s="33">
        <f>'Croda Goole'!L31</f>
        <v>2.1080000000000002E-2</v>
      </c>
      <c r="M4" s="33">
        <f>'Croda Goole'!M31</f>
        <v>0.1326</v>
      </c>
      <c r="N4" s="33">
        <f>'Croda Goole'!N31</f>
        <v>0</v>
      </c>
      <c r="O4" s="33">
        <f>'Croda Goole'!O31</f>
        <v>0</v>
      </c>
      <c r="P4" s="33">
        <f>'Croda Goole'!P31</f>
        <v>142.86799999999999</v>
      </c>
      <c r="Q4" s="33">
        <f>'Croda Goole'!Q31</f>
        <v>188.70000000000002</v>
      </c>
      <c r="R4" s="33">
        <f>'Croda Goole'!R31</f>
        <v>0</v>
      </c>
      <c r="S4" s="33">
        <f>'Croda Goole'!S31</f>
        <v>0</v>
      </c>
      <c r="T4" s="33">
        <f>'Croda Goole'!T31</f>
        <v>0</v>
      </c>
      <c r="U4" s="33">
        <f>'Croda Goole'!U31</f>
        <v>0</v>
      </c>
    </row>
    <row r="5" spans="1:21" x14ac:dyDescent="0.25">
      <c r="A5" s="36">
        <v>3</v>
      </c>
      <c r="B5" s="33">
        <f>'Croda Widnes'!B31</f>
        <v>55</v>
      </c>
      <c r="C5" s="33">
        <f>'Croda Widnes'!C31</f>
        <v>247.5</v>
      </c>
      <c r="D5" s="33">
        <f>'Croda Widnes'!D31</f>
        <v>33.517330000000001</v>
      </c>
      <c r="E5" s="33">
        <f>'Croda Widnes'!E31</f>
        <v>5.1495675000000007</v>
      </c>
      <c r="F5" s="33">
        <f>'Croda Widnes'!F31</f>
        <v>33.375539999999994</v>
      </c>
      <c r="G5" s="33">
        <f>'Croda Widnes'!G31</f>
        <v>0.1089</v>
      </c>
      <c r="H5" s="33">
        <f>'Croda Widnes'!H31</f>
        <v>0.45265000000000005</v>
      </c>
      <c r="I5" s="33">
        <f>'Croda Widnes'!I31</f>
        <v>2.75E-2</v>
      </c>
      <c r="J5" s="33">
        <f>'Croda Widnes'!J31</f>
        <v>8.25E-4</v>
      </c>
      <c r="K5" s="33">
        <f>'Croda Widnes'!K31</f>
        <v>2.7500000000000003E-3</v>
      </c>
      <c r="L5" s="33">
        <f>'Croda Widnes'!L31</f>
        <v>1.6664999999999999E-2</v>
      </c>
      <c r="M5" s="33">
        <f>'Croda Widnes'!M31</f>
        <v>3.6850000000000001E-2</v>
      </c>
      <c r="N5" s="33">
        <f>'Croda Widnes'!N31</f>
        <v>0</v>
      </c>
      <c r="O5" s="33">
        <f>'Croda Widnes'!O31</f>
        <v>0</v>
      </c>
      <c r="P5" s="33">
        <f>'Croda Widnes'!P31</f>
        <v>34.375</v>
      </c>
      <c r="Q5" s="33">
        <f>'Croda Widnes'!Q31</f>
        <v>55.825000000000003</v>
      </c>
      <c r="R5" s="33">
        <f>'Croda Widnes'!R31</f>
        <v>0</v>
      </c>
      <c r="S5" s="33">
        <f>'Croda Widnes'!S31</f>
        <v>0</v>
      </c>
      <c r="T5" s="33">
        <f>'Croda Widnes'!T31</f>
        <v>0</v>
      </c>
      <c r="U5" s="33">
        <f>'Croda Widnes'!U31</f>
        <v>0</v>
      </c>
    </row>
    <row r="6" spans="1:21" x14ac:dyDescent="0.25">
      <c r="A6" s="36">
        <v>4</v>
      </c>
      <c r="B6" s="33">
        <f>'D Wise'!B31</f>
        <v>250</v>
      </c>
      <c r="C6" s="33">
        <f>'D Wise'!C31</f>
        <v>150</v>
      </c>
      <c r="D6" s="33">
        <f>'D Wise'!D31</f>
        <v>35.052300000000002</v>
      </c>
      <c r="E6" s="33">
        <f>'D Wise'!E31</f>
        <v>17.382125000000002</v>
      </c>
      <c r="F6" s="33">
        <f>'D Wise'!F31</f>
        <v>4.1449999999999996</v>
      </c>
      <c r="G6" s="33">
        <f>'D Wise'!G31</f>
        <v>1.37</v>
      </c>
      <c r="H6" s="33">
        <f>'D Wise'!H31</f>
        <v>0.65749999999999997</v>
      </c>
      <c r="I6" s="33">
        <f>'D Wise'!I31</f>
        <v>0.47749999999999998</v>
      </c>
      <c r="J6" s="33">
        <f>'D Wise'!J31</f>
        <v>2.5000000000000001E-3</v>
      </c>
      <c r="K6" s="33">
        <f>'D Wise'!K31</f>
        <v>1.2500000000000001E-2</v>
      </c>
      <c r="L6" s="33">
        <f>'D Wise'!L31</f>
        <v>0.05</v>
      </c>
      <c r="M6" s="33">
        <f>'D Wise'!M31</f>
        <v>0.05</v>
      </c>
      <c r="N6" s="33">
        <f>'D Wise'!N31</f>
        <v>0</v>
      </c>
      <c r="O6" s="33">
        <f>'D Wise'!O31</f>
        <v>0</v>
      </c>
      <c r="P6" s="33">
        <f>'D Wise'!P31</f>
        <v>214.75</v>
      </c>
      <c r="Q6" s="33">
        <f>'D Wise'!Q31</f>
        <v>51.3125</v>
      </c>
      <c r="R6" s="33">
        <f>'D Wise'!R31</f>
        <v>0</v>
      </c>
      <c r="S6" s="33">
        <f>'D Wise'!S31</f>
        <v>0</v>
      </c>
      <c r="T6" s="33">
        <f>'D Wise'!T31</f>
        <v>0</v>
      </c>
      <c r="U6" s="33">
        <f>'D Wise'!U31</f>
        <v>0</v>
      </c>
    </row>
    <row r="7" spans="1:21" x14ac:dyDescent="0.25">
      <c r="A7" s="36">
        <v>5</v>
      </c>
      <c r="B7" s="33">
        <f>Encirc!B31</f>
        <v>18</v>
      </c>
      <c r="C7" s="33">
        <f>Encirc!C31</f>
        <v>120.87180000000002</v>
      </c>
      <c r="D7" s="33">
        <f>Encirc!D31</f>
        <v>55.234177199999998</v>
      </c>
      <c r="E7" s="33">
        <f>Encirc!E31</f>
        <v>8.5584402000000015</v>
      </c>
      <c r="F7" s="33">
        <f>Encirc!F31</f>
        <v>4.2133759200000007</v>
      </c>
      <c r="G7" s="33">
        <f>Encirc!G31</f>
        <v>0.171045</v>
      </c>
      <c r="H7" s="33">
        <f>Encirc!H31</f>
        <v>0.37304100000000007</v>
      </c>
      <c r="I7" s="33">
        <f>Encirc!I31</f>
        <v>5.3594100000000002E-3</v>
      </c>
      <c r="J7" s="33">
        <f>Encirc!J31</f>
        <v>1.6290000000000003E-4</v>
      </c>
      <c r="K7" s="33">
        <f>Encirc!K31</f>
        <v>1.6290000000000003E-4</v>
      </c>
      <c r="L7" s="33">
        <f>Encirc!L31</f>
        <v>3.2905800000000006E-2</v>
      </c>
      <c r="M7" s="33">
        <f>Encirc!M31</f>
        <v>0.11468160000000002</v>
      </c>
      <c r="N7" s="33">
        <f>Encirc!N31</f>
        <v>0</v>
      </c>
      <c r="O7" s="33">
        <f>Encirc!O31</f>
        <v>0</v>
      </c>
      <c r="P7" s="33">
        <f>Encirc!P31</f>
        <v>11.793960000000002</v>
      </c>
      <c r="Q7" s="33">
        <f>Encirc!Q31</f>
        <v>50.90625</v>
      </c>
      <c r="R7" s="33">
        <f>Encirc!R31</f>
        <v>0</v>
      </c>
      <c r="S7" s="33">
        <f>Encirc!S31</f>
        <v>0</v>
      </c>
      <c r="T7" s="33">
        <f>Encirc!T31</f>
        <v>0</v>
      </c>
      <c r="U7" s="33">
        <f>Encirc!U31</f>
        <v>0</v>
      </c>
    </row>
    <row r="8" spans="1:21" x14ac:dyDescent="0.25">
      <c r="A8" s="36">
        <v>6</v>
      </c>
      <c r="B8" s="33">
        <f>'Kelloggs '!B31</f>
        <v>100</v>
      </c>
      <c r="C8" s="33">
        <f>'Kelloggs '!C31</f>
        <v>190</v>
      </c>
      <c r="D8" s="33">
        <f>'Kelloggs '!D31</f>
        <v>55.4422</v>
      </c>
      <c r="E8" s="33">
        <f>'Kelloggs '!E31</f>
        <v>18.436499999999999</v>
      </c>
      <c r="F8" s="33">
        <f>'Kelloggs '!F31</f>
        <v>4.6424000000000003</v>
      </c>
      <c r="G8" s="33">
        <f>'Kelloggs '!G31</f>
        <v>0.25</v>
      </c>
      <c r="H8" s="33">
        <f>'Kelloggs '!H31</f>
        <v>0.187</v>
      </c>
      <c r="I8" s="33">
        <f>'Kelloggs '!I31</f>
        <v>7.5299999999999992E-2</v>
      </c>
      <c r="J8" s="33">
        <f>'Kelloggs '!J31</f>
        <v>1E-3</v>
      </c>
      <c r="K8" s="33">
        <f>'Kelloggs '!K31</f>
        <v>5.0000000000000001E-3</v>
      </c>
      <c r="L8" s="33">
        <f>'Kelloggs '!L31</f>
        <v>0.02</v>
      </c>
      <c r="M8" s="33">
        <f>'Kelloggs '!M31</f>
        <v>3.2300000000000002E-2</v>
      </c>
      <c r="N8" s="33">
        <f>'Kelloggs '!N31</f>
        <v>0</v>
      </c>
      <c r="O8" s="33">
        <f>'Kelloggs '!O31</f>
        <v>0</v>
      </c>
      <c r="P8" s="33">
        <f>'Kelloggs '!P31</f>
        <v>16</v>
      </c>
      <c r="Q8" s="33">
        <f>'Kelloggs '!Q31</f>
        <v>26.75</v>
      </c>
      <c r="R8" s="33">
        <f>'Kelloggs '!R31</f>
        <v>0</v>
      </c>
      <c r="S8" s="33">
        <f>'Kelloggs '!S31</f>
        <v>0</v>
      </c>
      <c r="T8" s="33">
        <f>'Kelloggs '!T31</f>
        <v>0</v>
      </c>
      <c r="U8" s="33">
        <f>'Kelloggs '!U31</f>
        <v>0</v>
      </c>
    </row>
    <row r="9" spans="1:21" x14ac:dyDescent="0.25">
      <c r="A9" s="36">
        <v>7</v>
      </c>
      <c r="B9" s="33">
        <f>'Maelor Foods'!B31</f>
        <v>32</v>
      </c>
      <c r="C9" s="33">
        <f>'Maelor Foods'!C31</f>
        <v>131.19999999999999</v>
      </c>
      <c r="D9" s="33">
        <f>'Maelor Foods'!D31</f>
        <v>53.957631999999997</v>
      </c>
      <c r="E9" s="33">
        <f>'Maelor Foods'!E31</f>
        <v>8.6760000000000002</v>
      </c>
      <c r="F9" s="33">
        <f>'Maelor Foods'!F31</f>
        <v>9.8684159999999999</v>
      </c>
      <c r="G9" s="33">
        <f>'Maelor Foods'!G31</f>
        <v>0.11295999999999999</v>
      </c>
      <c r="H9" s="33">
        <f>'Maelor Foods'!H31</f>
        <v>0.65279999999999994</v>
      </c>
      <c r="I9" s="33">
        <f>'Maelor Foods'!I31</f>
        <v>1.6E-2</v>
      </c>
      <c r="J9" s="33">
        <f>'Maelor Foods'!J31</f>
        <v>3.8400000000000001E-4</v>
      </c>
      <c r="K9" s="33">
        <f>'Maelor Foods'!K31</f>
        <v>1.6000000000000001E-3</v>
      </c>
      <c r="L9" s="33">
        <f>'Maelor Foods'!L31</f>
        <v>2.1568E-2</v>
      </c>
      <c r="M9" s="33">
        <f>'Maelor Foods'!M31</f>
        <v>4.5440000000000001E-2</v>
      </c>
      <c r="N9" s="33">
        <f>'Maelor Foods'!N31</f>
        <v>0</v>
      </c>
      <c r="O9" s="33">
        <f>'Maelor Foods'!O31</f>
        <v>0</v>
      </c>
      <c r="P9" s="33">
        <f>'Maelor Foods'!P31</f>
        <v>20.064</v>
      </c>
      <c r="Q9" s="33">
        <f>'Maelor Foods'!Q31</f>
        <v>37.92</v>
      </c>
      <c r="R9" s="33">
        <f>'Maelor Foods'!R31</f>
        <v>0</v>
      </c>
      <c r="S9" s="33">
        <f>'Maelor Foods'!S31</f>
        <v>0</v>
      </c>
      <c r="T9" s="33">
        <f>'Maelor Foods'!T31</f>
        <v>0</v>
      </c>
      <c r="U9" s="33">
        <f>'Maelor Foods'!U31</f>
        <v>0</v>
      </c>
    </row>
    <row r="10" spans="1:21" x14ac:dyDescent="0.25">
      <c r="A10" s="36">
        <v>8</v>
      </c>
      <c r="B10" s="33">
        <f>'Rowan Foods'!B31</f>
        <v>250</v>
      </c>
      <c r="C10" s="33">
        <f>'Rowan Foods'!C31</f>
        <v>75</v>
      </c>
      <c r="D10" s="33">
        <f>'Rowan Foods'!D31</f>
        <v>35.224125000000001</v>
      </c>
      <c r="E10" s="33">
        <f>'Rowan Foods'!E31</f>
        <v>22.533500000000004</v>
      </c>
      <c r="F10" s="33">
        <f>'Rowan Foods'!F31</f>
        <v>9.9480000000000004</v>
      </c>
      <c r="G10" s="33">
        <f>'Rowan Foods'!G31</f>
        <v>5.2999999999999999E-2</v>
      </c>
      <c r="H10" s="33">
        <f>'Rowan Foods'!H31</f>
        <v>0.4425</v>
      </c>
      <c r="I10" s="33">
        <f>'Rowan Foods'!I31</f>
        <v>0.125</v>
      </c>
      <c r="J10" s="33">
        <f>'Rowan Foods'!J31</f>
        <v>2.5000000000000001E-3</v>
      </c>
      <c r="K10" s="33">
        <f>'Rowan Foods'!K31</f>
        <v>1.2500000000000001E-2</v>
      </c>
      <c r="L10" s="33">
        <f>'Rowan Foods'!L31</f>
        <v>5.7250000000000002E-2</v>
      </c>
      <c r="M10" s="33">
        <f>'Rowan Foods'!M31</f>
        <v>5.7250000000000002E-2</v>
      </c>
      <c r="N10" s="33">
        <f>'Rowan Foods'!N31</f>
        <v>0</v>
      </c>
      <c r="O10" s="33">
        <f>'Rowan Foods'!O31</f>
        <v>0</v>
      </c>
      <c r="P10" s="33">
        <f>'Rowan Foods'!P31</f>
        <v>71.000000000000014</v>
      </c>
      <c r="Q10" s="33">
        <f>'Rowan Foods'!Q31</f>
        <v>78.125</v>
      </c>
      <c r="R10" s="33">
        <f>'Rowan Foods'!R31</f>
        <v>0</v>
      </c>
      <c r="S10" s="33">
        <f>'Rowan Foods'!S31</f>
        <v>0</v>
      </c>
      <c r="T10" s="33">
        <f>'Rowan Foods'!T31</f>
        <v>0</v>
      </c>
      <c r="U10" s="33">
        <f>'Rowan Foods'!U31</f>
        <v>0</v>
      </c>
    </row>
    <row r="11" spans="1:21" x14ac:dyDescent="0.25">
      <c r="A11" s="36">
        <v>9</v>
      </c>
      <c r="B11" s="33">
        <f>Secanim!B31</f>
        <v>200</v>
      </c>
      <c r="C11" s="33">
        <f>Secanim!C31</f>
        <v>140</v>
      </c>
      <c r="D11" s="33">
        <f>Secanim!D31</f>
        <v>54.983999999999995</v>
      </c>
      <c r="E11" s="33">
        <f>Secanim!E31</f>
        <v>42.898000000000003</v>
      </c>
      <c r="F11" s="33">
        <f>Secanim!F31</f>
        <v>7.5273199999999996</v>
      </c>
      <c r="G11" s="33">
        <f>Secanim!G31</f>
        <v>0.15460000000000002</v>
      </c>
      <c r="H11" s="33">
        <f>Secanim!H31</f>
        <v>0.42799999999999999</v>
      </c>
      <c r="I11" s="33">
        <f>Secanim!I31</f>
        <v>0.1</v>
      </c>
      <c r="J11" s="33">
        <f>Secanim!J31</f>
        <v>2E-3</v>
      </c>
      <c r="K11" s="33">
        <f>Secanim!K31</f>
        <v>0.01</v>
      </c>
      <c r="L11" s="33">
        <f>Secanim!L31</f>
        <v>0.04</v>
      </c>
      <c r="M11" s="33">
        <f>Secanim!M31</f>
        <v>0.04</v>
      </c>
      <c r="N11" s="33">
        <f>Secanim!N31</f>
        <v>0</v>
      </c>
      <c r="O11" s="33">
        <f>Secanim!O31</f>
        <v>0</v>
      </c>
      <c r="P11" s="33">
        <f>Secanim!P31</f>
        <v>259.60000000000002</v>
      </c>
      <c r="Q11" s="33">
        <f>Secanim!Q31</f>
        <v>2215000</v>
      </c>
      <c r="R11" s="33">
        <f>Secanim!R31</f>
        <v>0</v>
      </c>
      <c r="S11" s="33">
        <f>Secanim!S31</f>
        <v>0</v>
      </c>
      <c r="T11" s="33">
        <f>Secanim!T31</f>
        <v>0</v>
      </c>
      <c r="U11" s="33">
        <f>Secanim!U31</f>
        <v>0</v>
      </c>
    </row>
    <row r="12" spans="1:21" x14ac:dyDescent="0.25">
      <c r="A12" s="36">
        <v>10</v>
      </c>
      <c r="B12" s="33">
        <f>'Westland Horticulture'!B31</f>
        <v>250</v>
      </c>
      <c r="C12" s="33">
        <f>'Westland Horticulture'!C31</f>
        <v>25</v>
      </c>
      <c r="D12" s="33">
        <f>'Westland Horticulture'!D31</f>
        <v>11.626825</v>
      </c>
      <c r="E12" s="33">
        <f>'Westland Horticulture'!E31</f>
        <v>47.89875</v>
      </c>
      <c r="F12" s="33">
        <f>'Westland Horticulture'!F31</f>
        <v>6.5491000000000001</v>
      </c>
      <c r="G12" s="33">
        <f>'Westland Horticulture'!G31</f>
        <v>0.13250000000000003</v>
      </c>
      <c r="H12" s="33">
        <f>'Westland Horticulture'!H31</f>
        <v>0.2</v>
      </c>
      <c r="I12" s="33">
        <f>'Westland Horticulture'!I31</f>
        <v>0.125</v>
      </c>
      <c r="J12" s="33">
        <f>'Westland Horticulture'!J31</f>
        <v>2.5000000000000001E-3</v>
      </c>
      <c r="K12" s="33">
        <f>'Westland Horticulture'!K31</f>
        <v>1.2500000000000001E-2</v>
      </c>
      <c r="L12" s="33">
        <f>'Westland Horticulture'!L31</f>
        <v>0.05</v>
      </c>
      <c r="M12" s="33">
        <f>'Westland Horticulture'!M31</f>
        <v>0.34499999999999997</v>
      </c>
      <c r="N12" s="33">
        <f>'Westland Horticulture'!N31</f>
        <v>0</v>
      </c>
      <c r="O12" s="33">
        <f>'Westland Horticulture'!O31</f>
        <v>0</v>
      </c>
      <c r="P12" s="33">
        <f>'Westland Horticulture'!P31</f>
        <v>3.9249999999999998</v>
      </c>
      <c r="Q12" s="33">
        <f>'Westland Horticulture'!Q31</f>
        <v>13.125</v>
      </c>
      <c r="R12" s="33">
        <f>'Westland Horticulture'!R31</f>
        <v>0</v>
      </c>
      <c r="S12" s="33">
        <f>'Westland Horticulture'!S31</f>
        <v>0</v>
      </c>
      <c r="T12" s="33">
        <f>'Westland Horticulture'!T31</f>
        <v>0</v>
      </c>
      <c r="U12" s="33">
        <f>'Westland Horticulture'!U31</f>
        <v>0</v>
      </c>
    </row>
    <row r="13" spans="1:21" s="82" customFormat="1" ht="15.5" x14ac:dyDescent="0.35">
      <c r="A13" s="80" t="s">
        <v>85</v>
      </c>
      <c r="B13" s="81">
        <f>SUM(B3:B12)</f>
        <v>1439</v>
      </c>
      <c r="C13" s="81">
        <f t="shared" ref="C13:U13" si="0">SUM(C3:C12)</f>
        <v>1217.9718</v>
      </c>
      <c r="D13" s="81">
        <f t="shared" si="0"/>
        <v>409.94970719999998</v>
      </c>
      <c r="E13" s="81">
        <f t="shared" si="0"/>
        <v>210.29050270000002</v>
      </c>
      <c r="F13" s="81">
        <f t="shared" si="0"/>
        <v>90.712562320000004</v>
      </c>
      <c r="G13" s="81">
        <f t="shared" si="0"/>
        <v>2.433945</v>
      </c>
      <c r="H13" s="81">
        <f t="shared" si="0"/>
        <v>4.0522909999999994</v>
      </c>
      <c r="I13" s="81">
        <f t="shared" si="0"/>
        <v>1.0936594099999999</v>
      </c>
      <c r="J13" s="81">
        <f t="shared" si="0"/>
        <v>1.47119E-2</v>
      </c>
      <c r="K13" s="81">
        <f t="shared" si="0"/>
        <v>7.121290000000001E-2</v>
      </c>
      <c r="L13" s="81">
        <f t="shared" si="0"/>
        <v>0.35946879999999998</v>
      </c>
      <c r="M13" s="81">
        <f t="shared" si="0"/>
        <v>0.90412159999999997</v>
      </c>
      <c r="N13" s="81">
        <f t="shared" si="0"/>
        <v>0</v>
      </c>
      <c r="O13" s="81">
        <f t="shared" si="0"/>
        <v>0</v>
      </c>
      <c r="P13" s="81">
        <f t="shared" si="0"/>
        <v>885.62595999999996</v>
      </c>
      <c r="Q13" s="81">
        <f t="shared" si="0"/>
        <v>2215527.7887499998</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7" t="s">
        <v>84</v>
      </c>
      <c r="B1" s="34" t="s">
        <v>152</v>
      </c>
      <c r="C1" s="35" t="str">
        <f>Beechdean!B29</f>
        <v>Application Rate</v>
      </c>
      <c r="D1" s="35" t="str">
        <f>Beechdean!C29</f>
        <v>Nitrogen Addition</v>
      </c>
      <c r="E1" s="35" t="str">
        <f>Beechdean!D29</f>
        <v>Phosphate Addition</v>
      </c>
      <c r="F1" s="35" t="str">
        <f>Beechdean!E29</f>
        <v>Potash  Addition</v>
      </c>
      <c r="G1" s="35" t="str">
        <f>Beechdean!F29</f>
        <v>Mg Oxide Addition</v>
      </c>
      <c r="H1" s="35" t="str">
        <f>Beechdean!G29</f>
        <v>Copper Addition</v>
      </c>
      <c r="I1" s="35" t="str">
        <f>Beechdean!H29</f>
        <v>Zinc Addition</v>
      </c>
      <c r="J1" s="35" t="str">
        <f>Beechdean!I29</f>
        <v>Lead Addition</v>
      </c>
      <c r="K1" s="35" t="str">
        <f>Beechdean!J29</f>
        <v>Cadmium Addition</v>
      </c>
      <c r="L1" s="35" t="str">
        <f>Beechdean!K29</f>
        <v>Mercury Addition</v>
      </c>
      <c r="M1" s="35" t="str">
        <f>Beechdean!L29</f>
        <v>Nickel Addition</v>
      </c>
      <c r="N1" s="35" t="str">
        <f>Beechdean!M29</f>
        <v>Chromium Addition</v>
      </c>
      <c r="O1" s="35" t="str">
        <f>Beechdean!N29</f>
        <v>Aluminium Addition</v>
      </c>
      <c r="P1" s="35" t="str">
        <f>Beechdean!O29</f>
        <v>Iron Addition</v>
      </c>
      <c r="Q1" s="35" t="str">
        <f>Beechdean!P29</f>
        <v xml:space="preserve">Sodium Addition                 </v>
      </c>
      <c r="R1" s="35" t="str">
        <f>Beechdean!Q29</f>
        <v>SO3  Addition                             kg/ha</v>
      </c>
      <c r="S1" s="35" t="str">
        <f>Beechdean!R29</f>
        <v xml:space="preserve">Selenium Addition </v>
      </c>
      <c r="T1" s="35" t="str">
        <f>Beechdean!S29</f>
        <v xml:space="preserve">Arsenic  Addition  </v>
      </c>
      <c r="U1" s="35" t="str">
        <f>Beechdean!T29</f>
        <v xml:space="preserve">Molybdenum Addition  </v>
      </c>
      <c r="V1" s="35" t="str">
        <f>Beechdean!U29</f>
        <v xml:space="preserve">Fluoride Addition </v>
      </c>
    </row>
    <row r="2" spans="1:22" s="83" customFormat="1" ht="25" x14ac:dyDescent="0.35">
      <c r="A2" s="147"/>
      <c r="B2" s="32" t="s">
        <v>46</v>
      </c>
      <c r="C2" s="35" t="str">
        <f>Beechdean!B30</f>
        <v>tonnes/ha</v>
      </c>
      <c r="D2" s="35" t="str">
        <f>Beechdean!C30</f>
        <v>kg/ha</v>
      </c>
      <c r="E2" s="35" t="str">
        <f>Beechdean!D30</f>
        <v>P2O5 
kg/ha</v>
      </c>
      <c r="F2" s="35" t="str">
        <f>Beechdean!E30</f>
        <v>K2O 
kg/ha</v>
      </c>
      <c r="G2" s="35" t="str">
        <f>Beechdean!F30</f>
        <v>MgO 
kg/ha</v>
      </c>
      <c r="H2" s="35" t="str">
        <f>Beechdean!G30</f>
        <v>kg/ha</v>
      </c>
      <c r="I2" s="35" t="str">
        <f>Beechdean!H30</f>
        <v>kg/ha</v>
      </c>
      <c r="J2" s="35" t="str">
        <f>Beechdean!I30</f>
        <v>kg/ha</v>
      </c>
      <c r="K2" s="35" t="str">
        <f>Beechdean!J30</f>
        <v>kg/ha</v>
      </c>
      <c r="L2" s="35" t="str">
        <f>Beechdean!K30</f>
        <v>kg/ha</v>
      </c>
      <c r="M2" s="35" t="str">
        <f>Beechdean!L30</f>
        <v>kg/ha</v>
      </c>
      <c r="N2" s="35" t="str">
        <f>Beechdean!M30</f>
        <v>kg/ha</v>
      </c>
      <c r="O2" s="35" t="str">
        <f>Beechdean!N30</f>
        <v>kg/ha</v>
      </c>
      <c r="P2" s="35" t="str">
        <f>Beechdean!O30</f>
        <v>kg/ha</v>
      </c>
      <c r="Q2" s="35" t="str">
        <f>Beechdean!P30</f>
        <v>kg/ha</v>
      </c>
      <c r="R2" s="35" t="str">
        <f>Beechdean!Q30</f>
        <v>kg/ha</v>
      </c>
      <c r="S2" s="35" t="str">
        <f>Beechdean!R30</f>
        <v>kg/ha</v>
      </c>
      <c r="T2" s="35" t="str">
        <f>Beechdean!S30</f>
        <v>kg/ha</v>
      </c>
      <c r="U2" s="35" t="str">
        <f>Beechdean!T30</f>
        <v>kg/ha</v>
      </c>
      <c r="V2" s="35" t="str">
        <f>Beechdean!U30</f>
        <v>kg/ha</v>
      </c>
    </row>
    <row r="3" spans="1:22" x14ac:dyDescent="0.25">
      <c r="A3" s="36">
        <v>1</v>
      </c>
      <c r="B3" s="91"/>
      <c r="C3" s="33">
        <f>Beechdean!B31</f>
        <v>250</v>
      </c>
      <c r="D3" s="33">
        <f>Beechdean!C31</f>
        <v>50</v>
      </c>
      <c r="E3" s="33">
        <f>Beechdean!D31</f>
        <v>20.619000000000003</v>
      </c>
      <c r="F3" s="33">
        <f>Beechdean!E31</f>
        <v>26.630500000000005</v>
      </c>
      <c r="G3" s="33">
        <f>Beechdean!F31</f>
        <v>5.4713999999999992</v>
      </c>
      <c r="H3" s="33">
        <f>Beechdean!G31</f>
        <v>0.05</v>
      </c>
      <c r="I3" s="33">
        <f>Beechdean!H31</f>
        <v>0.125</v>
      </c>
      <c r="J3" s="33">
        <f>Beechdean!I31</f>
        <v>0.125</v>
      </c>
      <c r="K3" s="33">
        <f>Beechdean!J31</f>
        <v>2.5000000000000001E-3</v>
      </c>
      <c r="L3" s="33">
        <f>Beechdean!K31</f>
        <v>1.2500000000000001E-2</v>
      </c>
      <c r="M3" s="33">
        <f>Beechdean!L31</f>
        <v>0.05</v>
      </c>
      <c r="N3" s="33">
        <f>Beechdean!M31</f>
        <v>0.05</v>
      </c>
      <c r="O3" s="33">
        <f>Beechdean!N31</f>
        <v>0</v>
      </c>
      <c r="P3" s="33">
        <f>Beechdean!O31</f>
        <v>0</v>
      </c>
      <c r="Q3" s="33">
        <f>Beechdean!P31</f>
        <v>111.25</v>
      </c>
      <c r="R3" s="33">
        <f>Beechdean!Q31</f>
        <v>25.125000000000007</v>
      </c>
      <c r="S3" s="33">
        <f>Beechdean!R31</f>
        <v>0</v>
      </c>
      <c r="T3" s="33">
        <f>Beechdean!S31</f>
        <v>0</v>
      </c>
      <c r="U3" s="33">
        <f>Beechdean!T31</f>
        <v>0</v>
      </c>
      <c r="V3" s="33">
        <f>Beechdean!U31</f>
        <v>0</v>
      </c>
    </row>
    <row r="4" spans="1:22" x14ac:dyDescent="0.25">
      <c r="A4" s="36">
        <v>2</v>
      </c>
      <c r="B4" s="91"/>
      <c r="C4" s="33">
        <f>'Croda Goole'!B31</f>
        <v>34</v>
      </c>
      <c r="D4" s="33">
        <f>'Croda Goole'!C31</f>
        <v>88.4</v>
      </c>
      <c r="E4" s="33">
        <f>'Croda Goole'!D31</f>
        <v>54.292118000000002</v>
      </c>
      <c r="F4" s="33">
        <f>'Croda Goole'!E31</f>
        <v>12.127120000000001</v>
      </c>
      <c r="G4" s="33">
        <f>'Croda Goole'!F31</f>
        <v>4.9720104000000003</v>
      </c>
      <c r="H4" s="33">
        <f>'Croda Goole'!G31</f>
        <v>3.0939999999999999E-2</v>
      </c>
      <c r="I4" s="33">
        <f>'Croda Goole'!H31</f>
        <v>0.53379999999999994</v>
      </c>
      <c r="J4" s="33">
        <f>'Croda Goole'!I31</f>
        <v>1.7000000000000001E-2</v>
      </c>
      <c r="K4" s="33">
        <f>'Croda Goole'!J31</f>
        <v>3.4000000000000002E-4</v>
      </c>
      <c r="L4" s="33">
        <f>'Croda Goole'!K31</f>
        <v>1.7000000000000001E-3</v>
      </c>
      <c r="M4" s="33">
        <f>'Croda Goole'!L31</f>
        <v>2.1080000000000002E-2</v>
      </c>
      <c r="N4" s="33">
        <f>'Croda Goole'!M31</f>
        <v>0.1326</v>
      </c>
      <c r="O4" s="33">
        <f>'Croda Goole'!N31</f>
        <v>0</v>
      </c>
      <c r="P4" s="33">
        <f>'Croda Goole'!O31</f>
        <v>0</v>
      </c>
      <c r="Q4" s="33">
        <f>'Croda Goole'!P31</f>
        <v>142.86799999999999</v>
      </c>
      <c r="R4" s="33">
        <f>'Croda Goole'!Q31</f>
        <v>188.70000000000002</v>
      </c>
      <c r="S4" s="33">
        <f>'Croda Goole'!R31</f>
        <v>0</v>
      </c>
      <c r="T4" s="33">
        <f>'Croda Goole'!S31</f>
        <v>0</v>
      </c>
      <c r="U4" s="33">
        <f>'Croda Goole'!T31</f>
        <v>0</v>
      </c>
      <c r="V4" s="33">
        <f>'Croda Goole'!U31</f>
        <v>0</v>
      </c>
    </row>
    <row r="5" spans="1:22" x14ac:dyDescent="0.25">
      <c r="A5" s="36">
        <v>3</v>
      </c>
      <c r="B5" s="91"/>
      <c r="C5" s="33">
        <f>'Croda Widnes'!B31</f>
        <v>55</v>
      </c>
      <c r="D5" s="33">
        <f>'Croda Widnes'!C31</f>
        <v>247.5</v>
      </c>
      <c r="E5" s="33">
        <f>'Croda Widnes'!D31</f>
        <v>33.517330000000001</v>
      </c>
      <c r="F5" s="33">
        <f>'Croda Widnes'!E31</f>
        <v>5.1495675000000007</v>
      </c>
      <c r="G5" s="33">
        <f>'Croda Widnes'!F31</f>
        <v>33.375539999999994</v>
      </c>
      <c r="H5" s="33">
        <f>'Croda Widnes'!G31</f>
        <v>0.1089</v>
      </c>
      <c r="I5" s="33">
        <f>'Croda Widnes'!H31</f>
        <v>0.45265000000000005</v>
      </c>
      <c r="J5" s="33">
        <f>'Croda Widnes'!I31</f>
        <v>2.75E-2</v>
      </c>
      <c r="K5" s="33">
        <f>'Croda Widnes'!J31</f>
        <v>8.25E-4</v>
      </c>
      <c r="L5" s="33">
        <f>'Croda Widnes'!K31</f>
        <v>2.7500000000000003E-3</v>
      </c>
      <c r="M5" s="33">
        <f>'Croda Widnes'!L31</f>
        <v>1.6664999999999999E-2</v>
      </c>
      <c r="N5" s="33">
        <f>'Croda Widnes'!M31</f>
        <v>3.6850000000000001E-2</v>
      </c>
      <c r="O5" s="33">
        <f>'Croda Widnes'!N31</f>
        <v>0</v>
      </c>
      <c r="P5" s="33">
        <f>'Croda Widnes'!O31</f>
        <v>0</v>
      </c>
      <c r="Q5" s="33">
        <f>'Croda Widnes'!P31</f>
        <v>34.375</v>
      </c>
      <c r="R5" s="33">
        <f>'Croda Widnes'!Q31</f>
        <v>55.825000000000003</v>
      </c>
      <c r="S5" s="33">
        <f>'Croda Widnes'!R31</f>
        <v>0</v>
      </c>
      <c r="T5" s="33">
        <f>'Croda Widnes'!S31</f>
        <v>0</v>
      </c>
      <c r="U5" s="33">
        <f>'Croda Widnes'!T31</f>
        <v>0</v>
      </c>
      <c r="V5" s="33">
        <f>'Croda Widnes'!U31</f>
        <v>0</v>
      </c>
    </row>
    <row r="6" spans="1:22" x14ac:dyDescent="0.25">
      <c r="A6" s="36">
        <v>4</v>
      </c>
      <c r="B6" s="91"/>
      <c r="C6" s="33">
        <f>'D Wise'!B31</f>
        <v>250</v>
      </c>
      <c r="D6" s="33">
        <f>'D Wise'!C31</f>
        <v>150</v>
      </c>
      <c r="E6" s="33">
        <f>'D Wise'!D31</f>
        <v>35.052300000000002</v>
      </c>
      <c r="F6" s="33">
        <f>'D Wise'!E31</f>
        <v>17.382125000000002</v>
      </c>
      <c r="G6" s="33">
        <f>'D Wise'!F31</f>
        <v>4.1449999999999996</v>
      </c>
      <c r="H6" s="33">
        <f>'D Wise'!G31</f>
        <v>1.37</v>
      </c>
      <c r="I6" s="33">
        <f>'D Wise'!H31</f>
        <v>0.65749999999999997</v>
      </c>
      <c r="J6" s="33">
        <f>'D Wise'!I31</f>
        <v>0.47749999999999998</v>
      </c>
      <c r="K6" s="33">
        <f>'D Wise'!J31</f>
        <v>2.5000000000000001E-3</v>
      </c>
      <c r="L6" s="33">
        <f>'D Wise'!K31</f>
        <v>1.2500000000000001E-2</v>
      </c>
      <c r="M6" s="33">
        <f>'D Wise'!L31</f>
        <v>0.05</v>
      </c>
      <c r="N6" s="33">
        <f>'D Wise'!M31</f>
        <v>0.05</v>
      </c>
      <c r="O6" s="33">
        <f>'D Wise'!N31</f>
        <v>0</v>
      </c>
      <c r="P6" s="33">
        <f>'D Wise'!O31</f>
        <v>0</v>
      </c>
      <c r="Q6" s="33">
        <f>'D Wise'!P31</f>
        <v>214.75</v>
      </c>
      <c r="R6" s="33">
        <f>'D Wise'!Q31</f>
        <v>51.3125</v>
      </c>
      <c r="S6" s="33">
        <f>'D Wise'!R31</f>
        <v>0</v>
      </c>
      <c r="T6" s="33">
        <f>'D Wise'!S31</f>
        <v>0</v>
      </c>
      <c r="U6" s="33">
        <f>'D Wise'!T31</f>
        <v>0</v>
      </c>
      <c r="V6" s="33">
        <f>'D Wise'!U31</f>
        <v>0</v>
      </c>
    </row>
    <row r="7" spans="1:22" x14ac:dyDescent="0.25">
      <c r="A7" s="36">
        <v>5</v>
      </c>
      <c r="B7" s="91"/>
      <c r="C7" s="33">
        <f>Encirc!B31</f>
        <v>18</v>
      </c>
      <c r="D7" s="33">
        <f>Encirc!C31</f>
        <v>120.87180000000002</v>
      </c>
      <c r="E7" s="33">
        <f>Encirc!D31</f>
        <v>55.234177199999998</v>
      </c>
      <c r="F7" s="33">
        <f>Encirc!E31</f>
        <v>8.5584402000000015</v>
      </c>
      <c r="G7" s="33">
        <f>Encirc!F31</f>
        <v>4.2133759200000007</v>
      </c>
      <c r="H7" s="33">
        <f>Encirc!G31</f>
        <v>0.171045</v>
      </c>
      <c r="I7" s="33">
        <f>Encirc!H31</f>
        <v>0.37304100000000007</v>
      </c>
      <c r="J7" s="33">
        <f>Encirc!I31</f>
        <v>5.3594100000000002E-3</v>
      </c>
      <c r="K7" s="33">
        <f>Encirc!J31</f>
        <v>1.6290000000000003E-4</v>
      </c>
      <c r="L7" s="33">
        <f>Encirc!K31</f>
        <v>1.6290000000000003E-4</v>
      </c>
      <c r="M7" s="33">
        <f>Encirc!L31</f>
        <v>3.2905800000000006E-2</v>
      </c>
      <c r="N7" s="33">
        <f>Encirc!M31</f>
        <v>0.11468160000000002</v>
      </c>
      <c r="O7" s="33">
        <f>Encirc!N31</f>
        <v>0</v>
      </c>
      <c r="P7" s="33">
        <f>Encirc!O31</f>
        <v>0</v>
      </c>
      <c r="Q7" s="33">
        <f>Encirc!P31</f>
        <v>11.793960000000002</v>
      </c>
      <c r="R7" s="33">
        <f>Encirc!Q31</f>
        <v>50.90625</v>
      </c>
      <c r="S7" s="33">
        <f>Encirc!R31</f>
        <v>0</v>
      </c>
      <c r="T7" s="33">
        <f>Encirc!S31</f>
        <v>0</v>
      </c>
      <c r="U7" s="33">
        <f>Encirc!T31</f>
        <v>0</v>
      </c>
      <c r="V7" s="33">
        <f>Encirc!U31</f>
        <v>0</v>
      </c>
    </row>
    <row r="8" spans="1:22" x14ac:dyDescent="0.25">
      <c r="A8" s="36">
        <v>6</v>
      </c>
      <c r="B8" s="91"/>
      <c r="C8" s="33">
        <f>'Kelloggs '!B31</f>
        <v>100</v>
      </c>
      <c r="D8" s="33">
        <f>'Kelloggs '!C31</f>
        <v>190</v>
      </c>
      <c r="E8" s="33">
        <f>'Kelloggs '!D31</f>
        <v>55.4422</v>
      </c>
      <c r="F8" s="33">
        <f>'Kelloggs '!E31</f>
        <v>18.436499999999999</v>
      </c>
      <c r="G8" s="33">
        <f>'Kelloggs '!F31</f>
        <v>4.6424000000000003</v>
      </c>
      <c r="H8" s="33">
        <f>'Kelloggs '!G31</f>
        <v>0.25</v>
      </c>
      <c r="I8" s="33">
        <f>'Kelloggs '!H31</f>
        <v>0.187</v>
      </c>
      <c r="J8" s="33">
        <f>'Kelloggs '!I31</f>
        <v>7.5299999999999992E-2</v>
      </c>
      <c r="K8" s="33">
        <f>'Kelloggs '!J31</f>
        <v>1E-3</v>
      </c>
      <c r="L8" s="33">
        <f>'Kelloggs '!K31</f>
        <v>5.0000000000000001E-3</v>
      </c>
      <c r="M8" s="33">
        <f>'Kelloggs '!L31</f>
        <v>0.02</v>
      </c>
      <c r="N8" s="33">
        <f>'Kelloggs '!M31</f>
        <v>3.2300000000000002E-2</v>
      </c>
      <c r="O8" s="33">
        <f>'Kelloggs '!N31</f>
        <v>0</v>
      </c>
      <c r="P8" s="33">
        <f>'Kelloggs '!O31</f>
        <v>0</v>
      </c>
      <c r="Q8" s="33">
        <f>'Kelloggs '!P31</f>
        <v>16</v>
      </c>
      <c r="R8" s="33">
        <f>'Kelloggs '!Q31</f>
        <v>26.75</v>
      </c>
      <c r="S8" s="33">
        <f>'Kelloggs '!R31</f>
        <v>0</v>
      </c>
      <c r="T8" s="33">
        <f>'Kelloggs '!S31</f>
        <v>0</v>
      </c>
      <c r="U8" s="33">
        <f>'Kelloggs '!T31</f>
        <v>0</v>
      </c>
      <c r="V8" s="33">
        <f>'Kelloggs '!U31</f>
        <v>0</v>
      </c>
    </row>
    <row r="9" spans="1:22" x14ac:dyDescent="0.25">
      <c r="A9" s="36">
        <v>7</v>
      </c>
      <c r="B9" s="91"/>
      <c r="C9" s="33">
        <f>'Maelor Foods'!B31</f>
        <v>32</v>
      </c>
      <c r="D9" s="33">
        <f>'Maelor Foods'!C31</f>
        <v>131.19999999999999</v>
      </c>
      <c r="E9" s="33">
        <f>'Maelor Foods'!D31</f>
        <v>53.957631999999997</v>
      </c>
      <c r="F9" s="33">
        <f>'Maelor Foods'!E31</f>
        <v>8.6760000000000002</v>
      </c>
      <c r="G9" s="33">
        <f>'Maelor Foods'!F31</f>
        <v>9.8684159999999999</v>
      </c>
      <c r="H9" s="33">
        <f>'Maelor Foods'!G31</f>
        <v>0.11295999999999999</v>
      </c>
      <c r="I9" s="33">
        <f>'Maelor Foods'!H31</f>
        <v>0.65279999999999994</v>
      </c>
      <c r="J9" s="33">
        <f>'Maelor Foods'!I31</f>
        <v>1.6E-2</v>
      </c>
      <c r="K9" s="33">
        <f>'Maelor Foods'!J31</f>
        <v>3.8400000000000001E-4</v>
      </c>
      <c r="L9" s="33">
        <f>'Maelor Foods'!K31</f>
        <v>1.6000000000000001E-3</v>
      </c>
      <c r="M9" s="33">
        <f>'Maelor Foods'!L31</f>
        <v>2.1568E-2</v>
      </c>
      <c r="N9" s="33">
        <f>'Maelor Foods'!M31</f>
        <v>4.5440000000000001E-2</v>
      </c>
      <c r="O9" s="33">
        <f>'Maelor Foods'!N31</f>
        <v>0</v>
      </c>
      <c r="P9" s="33">
        <f>'Maelor Foods'!O31</f>
        <v>0</v>
      </c>
      <c r="Q9" s="33">
        <f>'Maelor Foods'!P31</f>
        <v>20.064</v>
      </c>
      <c r="R9" s="33">
        <f>'Maelor Foods'!Q31</f>
        <v>37.92</v>
      </c>
      <c r="S9" s="33">
        <f>'Maelor Foods'!R31</f>
        <v>0</v>
      </c>
      <c r="T9" s="33">
        <f>'Maelor Foods'!S31</f>
        <v>0</v>
      </c>
      <c r="U9" s="33">
        <f>'Maelor Foods'!T31</f>
        <v>0</v>
      </c>
      <c r="V9" s="33">
        <f>'Maelor Foods'!U31</f>
        <v>0</v>
      </c>
    </row>
    <row r="10" spans="1:22" x14ac:dyDescent="0.25">
      <c r="A10" s="36">
        <v>8</v>
      </c>
      <c r="B10" s="91"/>
      <c r="C10" s="33">
        <f>'Rowan Foods'!B31</f>
        <v>250</v>
      </c>
      <c r="D10" s="33">
        <f>'Rowan Foods'!C31</f>
        <v>75</v>
      </c>
      <c r="E10" s="33">
        <f>'Rowan Foods'!D31</f>
        <v>35.224125000000001</v>
      </c>
      <c r="F10" s="33">
        <f>'Rowan Foods'!E31</f>
        <v>22.533500000000004</v>
      </c>
      <c r="G10" s="33">
        <f>'Rowan Foods'!F31</f>
        <v>9.9480000000000004</v>
      </c>
      <c r="H10" s="33">
        <f>'Rowan Foods'!G31</f>
        <v>5.2999999999999999E-2</v>
      </c>
      <c r="I10" s="33">
        <f>'Rowan Foods'!H31</f>
        <v>0.4425</v>
      </c>
      <c r="J10" s="33">
        <f>'Rowan Foods'!I31</f>
        <v>0.125</v>
      </c>
      <c r="K10" s="33">
        <f>'Rowan Foods'!J31</f>
        <v>2.5000000000000001E-3</v>
      </c>
      <c r="L10" s="33">
        <f>'Rowan Foods'!K31</f>
        <v>1.2500000000000001E-2</v>
      </c>
      <c r="M10" s="33">
        <f>'Rowan Foods'!L31</f>
        <v>5.7250000000000002E-2</v>
      </c>
      <c r="N10" s="33">
        <f>'Rowan Foods'!M31</f>
        <v>5.7250000000000002E-2</v>
      </c>
      <c r="O10" s="33">
        <f>'Rowan Foods'!N31</f>
        <v>0</v>
      </c>
      <c r="P10" s="33">
        <f>'Rowan Foods'!O31</f>
        <v>0</v>
      </c>
      <c r="Q10" s="33">
        <f>'Rowan Foods'!P31</f>
        <v>71.000000000000014</v>
      </c>
      <c r="R10" s="33">
        <f>'Rowan Foods'!Q31</f>
        <v>78.125</v>
      </c>
      <c r="S10" s="33">
        <f>'Rowan Foods'!R31</f>
        <v>0</v>
      </c>
      <c r="T10" s="33">
        <f>'Rowan Foods'!S31</f>
        <v>0</v>
      </c>
      <c r="U10" s="33">
        <f>'Rowan Foods'!T31</f>
        <v>0</v>
      </c>
      <c r="V10" s="33">
        <f>'Rowan Foods'!U31</f>
        <v>0</v>
      </c>
    </row>
    <row r="11" spans="1:22" x14ac:dyDescent="0.25">
      <c r="A11" s="36">
        <v>9</v>
      </c>
      <c r="B11" s="91"/>
      <c r="C11" s="33">
        <f>Secanim!B31</f>
        <v>200</v>
      </c>
      <c r="D11" s="33">
        <f>Secanim!C31</f>
        <v>140</v>
      </c>
      <c r="E11" s="33">
        <f>Secanim!D31</f>
        <v>54.983999999999995</v>
      </c>
      <c r="F11" s="33">
        <f>Secanim!E31</f>
        <v>42.898000000000003</v>
      </c>
      <c r="G11" s="33">
        <f>Secanim!F31</f>
        <v>7.5273199999999996</v>
      </c>
      <c r="H11" s="33">
        <f>Secanim!G31</f>
        <v>0.15460000000000002</v>
      </c>
      <c r="I11" s="33">
        <f>Secanim!H31</f>
        <v>0.42799999999999999</v>
      </c>
      <c r="J11" s="33">
        <f>Secanim!I31</f>
        <v>0.1</v>
      </c>
      <c r="K11" s="33">
        <f>Secanim!J31</f>
        <v>2E-3</v>
      </c>
      <c r="L11" s="33">
        <f>Secanim!K31</f>
        <v>0.01</v>
      </c>
      <c r="M11" s="33">
        <f>Secanim!L31</f>
        <v>0.04</v>
      </c>
      <c r="N11" s="33">
        <f>Secanim!M31</f>
        <v>0.04</v>
      </c>
      <c r="O11" s="33">
        <f>Secanim!N31</f>
        <v>0</v>
      </c>
      <c r="P11" s="33">
        <f>Secanim!O31</f>
        <v>0</v>
      </c>
      <c r="Q11" s="33">
        <f>Secanim!P31</f>
        <v>259.60000000000002</v>
      </c>
      <c r="R11" s="33">
        <f>Secanim!Q31</f>
        <v>2215000</v>
      </c>
      <c r="S11" s="33">
        <f>Secanim!R31</f>
        <v>0</v>
      </c>
      <c r="T11" s="33">
        <f>Secanim!S31</f>
        <v>0</v>
      </c>
      <c r="U11" s="33">
        <f>Secanim!T31</f>
        <v>0</v>
      </c>
      <c r="V11" s="33">
        <f>Secanim!U31</f>
        <v>0</v>
      </c>
    </row>
    <row r="12" spans="1:22" x14ac:dyDescent="0.25">
      <c r="A12" s="36">
        <v>10</v>
      </c>
      <c r="B12" s="91"/>
      <c r="C12" s="33">
        <f>'Westland Horticulture'!B31</f>
        <v>250</v>
      </c>
      <c r="D12" s="33">
        <f>'Westland Horticulture'!C31</f>
        <v>25</v>
      </c>
      <c r="E12" s="33">
        <f>'Westland Horticulture'!D31</f>
        <v>11.626825</v>
      </c>
      <c r="F12" s="33">
        <f>'Westland Horticulture'!E31</f>
        <v>47.89875</v>
      </c>
      <c r="G12" s="33">
        <f>'Westland Horticulture'!F31</f>
        <v>6.5491000000000001</v>
      </c>
      <c r="H12" s="33">
        <f>'Westland Horticulture'!G31</f>
        <v>0.13250000000000003</v>
      </c>
      <c r="I12" s="33">
        <f>'Westland Horticulture'!H31</f>
        <v>0.2</v>
      </c>
      <c r="J12" s="33">
        <f>'Westland Horticulture'!I31</f>
        <v>0.125</v>
      </c>
      <c r="K12" s="33">
        <f>'Westland Horticulture'!J31</f>
        <v>2.5000000000000001E-3</v>
      </c>
      <c r="L12" s="33">
        <f>'Westland Horticulture'!K31</f>
        <v>1.2500000000000001E-2</v>
      </c>
      <c r="M12" s="33">
        <f>'Westland Horticulture'!L31</f>
        <v>0.05</v>
      </c>
      <c r="N12" s="33">
        <f>'Westland Horticulture'!M31</f>
        <v>0.34499999999999997</v>
      </c>
      <c r="O12" s="33">
        <f>'Westland Horticulture'!N31</f>
        <v>0</v>
      </c>
      <c r="P12" s="33">
        <f>'Westland Horticulture'!O31</f>
        <v>0</v>
      </c>
      <c r="Q12" s="33">
        <f>'Westland Horticulture'!P31</f>
        <v>3.9249999999999998</v>
      </c>
      <c r="R12" s="33">
        <f>'Westland Horticulture'!Q31</f>
        <v>13.125</v>
      </c>
      <c r="S12" s="33">
        <f>'Westland Horticulture'!R31</f>
        <v>0</v>
      </c>
      <c r="T12" s="33">
        <f>'Westland Horticulture'!S31</f>
        <v>0</v>
      </c>
      <c r="U12" s="33">
        <f>'Westland Horticulture'!T31</f>
        <v>0</v>
      </c>
      <c r="V12" s="33">
        <f>'Westland Horticulture'!U31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6" t="s">
        <v>84</v>
      </c>
      <c r="B15" s="35" t="s">
        <v>152</v>
      </c>
      <c r="C15" s="35">
        <f>Beechdean!B43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6"/>
      <c r="B16" s="32" t="s">
        <v>46</v>
      </c>
      <c r="C16" s="35">
        <f>Beechdean!B44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34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55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18</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100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32</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200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8" t="s">
        <v>85</v>
      </c>
      <c r="B27" s="148"/>
      <c r="C27" s="148"/>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REGU-204-2744283</_dlc_DocId>
    <_dlc_DocIdUrl xmlns="9be56660-2c31-41ef-bc00-23e72f632f2a">
      <Url>https://cyfoethnaturiolcymru.sharepoint.com/teams/Regulatory/Permitting/_layouts/15/DocIdRedir.aspx?ID=REGU-204-2744283</Url>
      <Description>REGU-204-2744283</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2022-01-27T00:00:00+00:00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80EBCCCD-42ED-4B82-A34B-CDC70B348186}"/>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85D8E445-18AC-41D0-9858-853A459A9C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Beechdean</vt:lpstr>
      <vt:lpstr>Croda Goole</vt:lpstr>
      <vt:lpstr>Croda Widnes</vt:lpstr>
      <vt:lpstr>D Wise</vt:lpstr>
      <vt:lpstr>Encirc</vt:lpstr>
      <vt:lpstr>Kelloggs </vt:lpstr>
      <vt:lpstr>Maelor Foods</vt:lpstr>
      <vt:lpstr>Rowan Foods</vt:lpstr>
      <vt:lpstr>Secanim</vt:lpstr>
      <vt:lpstr>Westland Horticulture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Broadley, Gianluca</cp:lastModifiedBy>
  <dcterms:created xsi:type="dcterms:W3CDTF">2016-09-26T10:07:59Z</dcterms:created>
  <dcterms:modified xsi:type="dcterms:W3CDTF">2022-01-25T09:45:15Z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9f5cf484-8bbf-496c-862f-8545ab5084e6</vt:lpwstr>
  </property>
</Properties>
</file>